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lessio\Desktop\Immagini Amministrazione Trasparente\"/>
    </mc:Choice>
  </mc:AlternateContent>
  <bookViews>
    <workbookView xWindow="0" yWindow="0" windowWidth="28800" windowHeight="12435"/>
  </bookViews>
  <sheets>
    <sheet name="CDA-COMPENSI EPPI" sheetId="3" r:id="rId1"/>
    <sheet name="CDA-COMPENSI ESTERNI" sheetId="2" r:id="rId2"/>
    <sheet name="CIG-COMPENSI EPPI" sheetId="4" r:id="rId3"/>
    <sheet name="CS-COMPENSI EPPI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5" l="1"/>
  <c r="F26" i="5"/>
  <c r="L25" i="5"/>
  <c r="N25" i="5" s="1"/>
  <c r="J25" i="5"/>
  <c r="G25" i="5"/>
  <c r="F25" i="5"/>
  <c r="H25" i="5" s="1"/>
  <c r="D25" i="5"/>
  <c r="C25" i="5"/>
  <c r="I25" i="5" s="1"/>
  <c r="K25" i="5" s="1"/>
  <c r="N24" i="5"/>
  <c r="J24" i="5"/>
  <c r="G24" i="5"/>
  <c r="F24" i="5"/>
  <c r="I24" i="5" s="1"/>
  <c r="E24" i="5"/>
  <c r="D24" i="5"/>
  <c r="C24" i="5"/>
  <c r="N23" i="5"/>
  <c r="M23" i="5"/>
  <c r="M26" i="5" s="1"/>
  <c r="J23" i="5"/>
  <c r="O23" i="5" s="1"/>
  <c r="I23" i="5"/>
  <c r="K23" i="5" s="1"/>
  <c r="G23" i="5"/>
  <c r="H23" i="5" s="1"/>
  <c r="D23" i="5"/>
  <c r="E23" i="5" s="1"/>
  <c r="N22" i="5"/>
  <c r="J22" i="5"/>
  <c r="O22" i="5" s="1"/>
  <c r="I22" i="5"/>
  <c r="H22" i="5"/>
  <c r="E22" i="5"/>
  <c r="L21" i="5"/>
  <c r="L26" i="5" s="1"/>
  <c r="J21" i="5"/>
  <c r="O21" i="5" s="1"/>
  <c r="G21" i="5"/>
  <c r="F21" i="5"/>
  <c r="H21" i="5" s="1"/>
  <c r="D21" i="5"/>
  <c r="D26" i="5" s="1"/>
  <c r="C21" i="5"/>
  <c r="I21" i="5" s="1"/>
  <c r="G10" i="5"/>
  <c r="E10" i="5"/>
  <c r="C10" i="5"/>
  <c r="G9" i="5"/>
  <c r="G8" i="5"/>
  <c r="G7" i="5"/>
  <c r="G6" i="5"/>
  <c r="G5" i="5"/>
  <c r="K21" i="5" l="1"/>
  <c r="K26" i="5" s="1"/>
  <c r="I26" i="5"/>
  <c r="O24" i="5"/>
  <c r="O26" i="5" s="1"/>
  <c r="K24" i="5"/>
  <c r="O25" i="5"/>
  <c r="K22" i="5"/>
  <c r="E21" i="5"/>
  <c r="E26" i="5" s="1"/>
  <c r="N21" i="5"/>
  <c r="N26" i="5" s="1"/>
  <c r="H24" i="5"/>
  <c r="H26" i="5" s="1"/>
  <c r="E25" i="5"/>
  <c r="J26" i="5"/>
  <c r="C26" i="5"/>
  <c r="M48" i="4" l="1"/>
  <c r="N47" i="4"/>
  <c r="I47" i="4"/>
  <c r="K47" i="4" s="1"/>
  <c r="O47" i="4" s="1"/>
  <c r="H47" i="4"/>
  <c r="D47" i="4"/>
  <c r="J47" i="4" s="1"/>
  <c r="L46" i="4"/>
  <c r="N46" i="4" s="1"/>
  <c r="J46" i="4"/>
  <c r="G46" i="4"/>
  <c r="F46" i="4"/>
  <c r="H46" i="4" s="1"/>
  <c r="C46" i="4"/>
  <c r="I46" i="4" s="1"/>
  <c r="K46" i="4" s="1"/>
  <c r="O46" i="4" s="1"/>
  <c r="I45" i="4"/>
  <c r="G45" i="4"/>
  <c r="H45" i="4" s="1"/>
  <c r="D45" i="4"/>
  <c r="J45" i="4" s="1"/>
  <c r="K45" i="4" s="1"/>
  <c r="O45" i="4" s="1"/>
  <c r="N44" i="4"/>
  <c r="G44" i="4"/>
  <c r="F44" i="4"/>
  <c r="H44" i="4" s="1"/>
  <c r="D44" i="4"/>
  <c r="E44" i="4" s="1"/>
  <c r="N43" i="4"/>
  <c r="J43" i="4"/>
  <c r="G43" i="4"/>
  <c r="F43" i="4"/>
  <c r="F48" i="4" s="1"/>
  <c r="D43" i="4"/>
  <c r="C43" i="4"/>
  <c r="E43" i="4" s="1"/>
  <c r="L42" i="4"/>
  <c r="N42" i="4" s="1"/>
  <c r="J42" i="4"/>
  <c r="H42" i="4"/>
  <c r="F42" i="4"/>
  <c r="D42" i="4"/>
  <c r="C42" i="4"/>
  <c r="I42" i="4" s="1"/>
  <c r="K42" i="4" s="1"/>
  <c r="N41" i="4"/>
  <c r="L41" i="4"/>
  <c r="I41" i="4"/>
  <c r="K41" i="4" s="1"/>
  <c r="O41" i="4" s="1"/>
  <c r="G41" i="4"/>
  <c r="F41" i="4"/>
  <c r="H41" i="4" s="1"/>
  <c r="E41" i="4"/>
  <c r="D41" i="4"/>
  <c r="J41" i="4" s="1"/>
  <c r="C41" i="4"/>
  <c r="N40" i="4"/>
  <c r="L40" i="4"/>
  <c r="G40" i="4"/>
  <c r="F40" i="4"/>
  <c r="H40" i="4" s="1"/>
  <c r="D40" i="4"/>
  <c r="J40" i="4" s="1"/>
  <c r="C40" i="4"/>
  <c r="I40" i="4" s="1"/>
  <c r="K40" i="4" s="1"/>
  <c r="O40" i="4" s="1"/>
  <c r="N39" i="4"/>
  <c r="L39" i="4"/>
  <c r="I39" i="4"/>
  <c r="G39" i="4"/>
  <c r="H39" i="4" s="1"/>
  <c r="D39" i="4"/>
  <c r="E39" i="4" s="1"/>
  <c r="N38" i="4"/>
  <c r="L38" i="4"/>
  <c r="I38" i="4"/>
  <c r="K38" i="4" s="1"/>
  <c r="O38" i="4" s="1"/>
  <c r="G38" i="4"/>
  <c r="F38" i="4"/>
  <c r="H38" i="4" s="1"/>
  <c r="D38" i="4"/>
  <c r="J38" i="4" s="1"/>
  <c r="C38" i="4"/>
  <c r="E38" i="4" s="1"/>
  <c r="N37" i="4"/>
  <c r="J37" i="4"/>
  <c r="I37" i="4"/>
  <c r="K37" i="4" s="1"/>
  <c r="O37" i="4" s="1"/>
  <c r="H37" i="4"/>
  <c r="G37" i="4"/>
  <c r="E37" i="4"/>
  <c r="D37" i="4"/>
  <c r="L36" i="4"/>
  <c r="N36" i="4" s="1"/>
  <c r="J36" i="4"/>
  <c r="H36" i="4"/>
  <c r="F36" i="4"/>
  <c r="E36" i="4"/>
  <c r="C36" i="4"/>
  <c r="I36" i="4" s="1"/>
  <c r="K36" i="4" s="1"/>
  <c r="L35" i="4"/>
  <c r="N35" i="4" s="1"/>
  <c r="I35" i="4"/>
  <c r="H35" i="4"/>
  <c r="D35" i="4"/>
  <c r="E35" i="4" s="1"/>
  <c r="N34" i="4"/>
  <c r="L34" i="4"/>
  <c r="L48" i="4" s="1"/>
  <c r="I34" i="4"/>
  <c r="G34" i="4"/>
  <c r="H34" i="4" s="1"/>
  <c r="D34" i="4"/>
  <c r="E34" i="4" s="1"/>
  <c r="N33" i="4"/>
  <c r="J33" i="4"/>
  <c r="H33" i="4"/>
  <c r="G33" i="4"/>
  <c r="F33" i="4"/>
  <c r="D33" i="4"/>
  <c r="C33" i="4"/>
  <c r="I33" i="4" s="1"/>
  <c r="K33" i="4" s="1"/>
  <c r="O33" i="4" s="1"/>
  <c r="N32" i="4"/>
  <c r="I32" i="4"/>
  <c r="G32" i="4"/>
  <c r="G48" i="4" s="1"/>
  <c r="D32" i="4"/>
  <c r="J32" i="4" s="1"/>
  <c r="E21" i="4"/>
  <c r="C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21" i="4" s="1"/>
  <c r="I48" i="4" l="1"/>
  <c r="K39" i="4"/>
  <c r="O39" i="4" s="1"/>
  <c r="O42" i="4"/>
  <c r="K32" i="4"/>
  <c r="N48" i="4"/>
  <c r="O36" i="4"/>
  <c r="H43" i="4"/>
  <c r="E32" i="4"/>
  <c r="J34" i="4"/>
  <c r="K34" i="4" s="1"/>
  <c r="O34" i="4" s="1"/>
  <c r="I43" i="4"/>
  <c r="K43" i="4" s="1"/>
  <c r="O43" i="4" s="1"/>
  <c r="E45" i="4"/>
  <c r="E46" i="4"/>
  <c r="J35" i="4"/>
  <c r="J48" i="4" s="1"/>
  <c r="E40" i="4"/>
  <c r="H32" i="4"/>
  <c r="H48" i="4" s="1"/>
  <c r="E33" i="4"/>
  <c r="J39" i="4"/>
  <c r="I44" i="4"/>
  <c r="K44" i="4" s="1"/>
  <c r="O44" i="4" s="1"/>
  <c r="C48" i="4"/>
  <c r="J44" i="4"/>
  <c r="E47" i="4"/>
  <c r="D48" i="4"/>
  <c r="E42" i="4"/>
  <c r="K35" i="4" l="1"/>
  <c r="O35" i="4" s="1"/>
  <c r="K48" i="4"/>
  <c r="O32" i="4"/>
  <c r="E48" i="4"/>
  <c r="O48" i="4" l="1"/>
  <c r="E11" i="3" l="1"/>
  <c r="C11" i="3"/>
  <c r="G10" i="3"/>
  <c r="G9" i="3"/>
  <c r="G8" i="3"/>
  <c r="G7" i="3"/>
  <c r="G6" i="3"/>
  <c r="G11" i="3" l="1"/>
  <c r="N24" i="3" l="1"/>
  <c r="H24" i="3"/>
  <c r="D24" i="3"/>
  <c r="E24" i="3" s="1"/>
  <c r="C24" i="3"/>
  <c r="I24" i="3" s="1"/>
  <c r="N23" i="3"/>
  <c r="L27" i="3"/>
  <c r="N22" i="3"/>
  <c r="N26" i="3"/>
  <c r="I26" i="3"/>
  <c r="G26" i="3"/>
  <c r="D26" i="3"/>
  <c r="E26" i="3" s="1"/>
  <c r="I25" i="3"/>
  <c r="G25" i="3"/>
  <c r="H25" i="3" s="1"/>
  <c r="D25" i="3"/>
  <c r="E25" i="3" s="1"/>
  <c r="F23" i="3"/>
  <c r="D23" i="3"/>
  <c r="J23" i="3" s="1"/>
  <c r="C23" i="3"/>
  <c r="I23" i="3" s="1"/>
  <c r="I22" i="3"/>
  <c r="G22" i="3"/>
  <c r="D22" i="3"/>
  <c r="C27" i="3" l="1"/>
  <c r="J26" i="3"/>
  <c r="K26" i="3" s="1"/>
  <c r="O26" i="3" s="1"/>
  <c r="E23" i="3"/>
  <c r="D27" i="3"/>
  <c r="E22" i="3"/>
  <c r="G27" i="3"/>
  <c r="J25" i="3"/>
  <c r="K25" i="3" s="1"/>
  <c r="J24" i="3"/>
  <c r="K24" i="3" s="1"/>
  <c r="O24" i="3" s="1"/>
  <c r="M27" i="3"/>
  <c r="N25" i="3"/>
  <c r="J22" i="3"/>
  <c r="F27" i="3"/>
  <c r="H26" i="3"/>
  <c r="H22" i="3"/>
  <c r="H23" i="3"/>
  <c r="C25" i="2"/>
  <c r="D24" i="2"/>
  <c r="E24" i="2" s="1"/>
  <c r="D23" i="2"/>
  <c r="E23" i="2" s="1"/>
  <c r="E22" i="2"/>
  <c r="E21" i="2"/>
  <c r="E20" i="2"/>
  <c r="E27" i="3" l="1"/>
  <c r="K23" i="3"/>
  <c r="O23" i="3" s="1"/>
  <c r="O25" i="3"/>
  <c r="H27" i="3"/>
  <c r="I27" i="3"/>
  <c r="K22" i="3"/>
  <c r="O22" i="3" s="1"/>
  <c r="J27" i="3"/>
  <c r="N27" i="3"/>
  <c r="E25" i="2"/>
  <c r="D25" i="2"/>
  <c r="K27" i="3" l="1"/>
  <c r="O27" i="3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O11" i="2"/>
  <c r="O10" i="2"/>
  <c r="O9" i="2"/>
  <c r="O8" i="2"/>
  <c r="O13" i="2" l="1"/>
</calcChain>
</file>

<file path=xl/comments1.xml><?xml version="1.0" encoding="utf-8"?>
<comments xmlns="http://schemas.openxmlformats.org/spreadsheetml/2006/main">
  <authors>
    <author>Viviana Merighetti</author>
  </authors>
  <commentList>
    <comment ref="S39" authorId="0" shapeId="0">
      <text>
        <r>
          <rPr>
            <b/>
            <sz val="9"/>
            <color indexed="81"/>
            <rFont val="Tahoma"/>
            <family val="2"/>
          </rPr>
          <t>Viviana Merighetti:</t>
        </r>
        <r>
          <rPr>
            <sz val="9"/>
            <color indexed="81"/>
            <rFont val="Tahoma"/>
            <family val="2"/>
          </rPr>
          <t xml:space="preserve">
CONTANTI DICEMBRE 2014</t>
        </r>
      </text>
    </comment>
  </commentList>
</comments>
</file>

<file path=xl/sharedStrings.xml><?xml version="1.0" encoding="utf-8"?>
<sst xmlns="http://schemas.openxmlformats.org/spreadsheetml/2006/main" count="163" uniqueCount="82">
  <si>
    <t>TABELLA  1. N° GIORNATE DI PRESENZA 2015</t>
  </si>
  <si>
    <t>CONSIGLIERE</t>
  </si>
  <si>
    <t>N° GIORNATE PRESENZE ISTITUZIONALI
(indennità di partecipazione)</t>
  </si>
  <si>
    <t>N° GIORNATE PRESENZE NON ISTITUZIONALI
(solo rimborso spese)</t>
  </si>
  <si>
    <t>N° GIORNATE PRESENZE TOTALI</t>
  </si>
  <si>
    <t>BIGNAMI VALERIO</t>
  </si>
  <si>
    <t>BERNASCONI PAOLO</t>
  </si>
  <si>
    <t>GIORDANO MARIO</t>
  </si>
  <si>
    <t>SCOZZAI GIANNI</t>
  </si>
  <si>
    <t>ARMATO PAOLO</t>
  </si>
  <si>
    <t>TOTALE</t>
  </si>
  <si>
    <t xml:space="preserve">BERNASCONI PAOLO </t>
  </si>
  <si>
    <t xml:space="preserve">GIORDANO MARIO </t>
  </si>
  <si>
    <t>Totale complessivo</t>
  </si>
  <si>
    <t>TABELLA 3.  COMPENSI  LORDI CORRISPOSTI DA SOCIETA' OVVERO FONDI PARTECIPATI  (fonte dati certificazione della Società o Fondo partecipato)</t>
  </si>
  <si>
    <t>Consiglieri di amministrazione
in carica dal 26/06/2014</t>
  </si>
  <si>
    <t>Compensi 2015*</t>
  </si>
  <si>
    <t>Totali</t>
  </si>
  <si>
    <t>Arpinge</t>
  </si>
  <si>
    <t>Tesip Srl</t>
  </si>
  <si>
    <t>Fondo RSH</t>
  </si>
  <si>
    <t>Fondo Taste of Italy</t>
  </si>
  <si>
    <t>Fondo PAI</t>
  </si>
  <si>
    <t>Fondo EOS</t>
  </si>
  <si>
    <t>Fondo PropertyI</t>
  </si>
  <si>
    <t>Fondo PropertyII</t>
  </si>
  <si>
    <t>Fondo PropertyIII</t>
  </si>
  <si>
    <t>Fondo Fedora</t>
  </si>
  <si>
    <t>Associazione Emapi</t>
  </si>
  <si>
    <t>Fondazione Patrimonio Comune</t>
  </si>
  <si>
    <t>Bignami Valerio</t>
  </si>
  <si>
    <t>Bernasconi Paolo</t>
  </si>
  <si>
    <t>Giordano Mario</t>
  </si>
  <si>
    <t>Armato Paolo</t>
  </si>
  <si>
    <t>Scozzai Gianni</t>
  </si>
  <si>
    <t>*Compensi percepiti al 31 dicembre 2015</t>
  </si>
  <si>
    <t>TABELLA 2.  COMPENSI LORDI EPPI CORRISPOSTI NEL 2015 RIPARTITI PER NATURA (fonte dati certificazione unica 2016)*</t>
  </si>
  <si>
    <t>Soggetti designati dall'EPPI</t>
  </si>
  <si>
    <t>Arpinge S.p.A.</t>
  </si>
  <si>
    <t>Bendinelli Florio**</t>
  </si>
  <si>
    <t>Bertolone Mele Angelo**</t>
  </si>
  <si>
    <t>Mormile Giuseppe***</t>
  </si>
  <si>
    <t>Canino Pier Paolo****</t>
  </si>
  <si>
    <t>Busacca Nunziatina****</t>
  </si>
  <si>
    <t>** in carica fino al 05/03/2015</t>
  </si>
  <si>
    <t>*** in carica fino al 02/03/2015</t>
  </si>
  <si>
    <t>**** in carica dal 02/04/2015</t>
  </si>
  <si>
    <t xml:space="preserve">TABELLA 4.  COMPENSI  LORDI CORRISPOSTI DA SOCIETA' OVVERO FONDI PARTECIPATI  (fonte dati certificazione della Società o Fondo partecipato) </t>
  </si>
  <si>
    <t>CONSIGLIERI INTERNI ALL'ENTE</t>
  </si>
  <si>
    <t>CONSIGLIERI ESTERNI ALL'ENTE</t>
  </si>
  <si>
    <t>INDENNITA' DI CARICA
(A)</t>
  </si>
  <si>
    <t>INDENNITA' DI PARTECIPAZIONE
(B)</t>
  </si>
  <si>
    <t>TOTALE COMPENSO EMOLUMENTI STATUTARI
(A+B)</t>
  </si>
  <si>
    <t>RIMBORSO SPESE
(C)</t>
  </si>
  <si>
    <t>TOTALE COMPENSO DA CU
(A+B+C)</t>
  </si>
  <si>
    <t xml:space="preserve">* I dati riportati sono riferiti ai compensi lordi liquidati nel 2015 ai singoli consiglieri e certificati con la Certificazione Unica 2016, relativamente alle competenze 2014 e 2015 come esposto in tabella. </t>
  </si>
  <si>
    <t>ROSSI GIAN PIERO</t>
  </si>
  <si>
    <t>SPADAZZI LUCIANO</t>
  </si>
  <si>
    <t>BLANCO DONATO</t>
  </si>
  <si>
    <t>CASSETTI RODOLFO</t>
  </si>
  <si>
    <t>CATTARUZZA DORIGO SILVIO</t>
  </si>
  <si>
    <t>DE FAVERI PIETRO</t>
  </si>
  <si>
    <t>FORTE SALVATORE</t>
  </si>
  <si>
    <t>MARANGONI ARMANDO</t>
  </si>
  <si>
    <t>MORABITO ROSARIO</t>
  </si>
  <si>
    <t>OLOCOTINO MARIO</t>
  </si>
  <si>
    <t>PARAVANO PAOLO</t>
  </si>
  <si>
    <t>PIRANI VITTORIO</t>
  </si>
  <si>
    <t>SOLDATI MASSIMO</t>
  </si>
  <si>
    <t>COLA ALESSANDRO</t>
  </si>
  <si>
    <t>VIAZZI GIORGIO</t>
  </si>
  <si>
    <t>ZENOBI ALFREDO</t>
  </si>
  <si>
    <t>TOTALE COMPENSO DA CU</t>
  </si>
  <si>
    <t>2014</t>
  </si>
  <si>
    <t>2015</t>
  </si>
  <si>
    <t xml:space="preserve">BLANCO DONATO </t>
  </si>
  <si>
    <t xml:space="preserve">GALBUSERA DAVIDE </t>
  </si>
  <si>
    <t>ARGONDIZZA GIOVANNI GIUSEPPE</t>
  </si>
  <si>
    <t>ARNONE SALVATORE</t>
  </si>
  <si>
    <t>CAVALLARI MASSIMO</t>
  </si>
  <si>
    <t>GUASCO CLAUDIO</t>
  </si>
  <si>
    <t>SINDACO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</si>
</sst>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Arial"/>
      <family val="2"/>
    </font>
    <font>
      <b/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</cellStyleXfs>
  <cellXfs count="40">
    <xf numFmtId="0" fontId="0" fillId="0" borderId="0" xfId="0"/>
    <xf numFmtId="0" fontId="3" fillId="0" borderId="0" xfId="0" applyFont="1" applyFill="1"/>
    <xf numFmtId="43" fontId="4" fillId="0" borderId="0" xfId="1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8" fillId="0" borderId="1" xfId="0" applyFont="1" applyFill="1" applyBorder="1" applyAlignment="1"/>
    <xf numFmtId="0" fontId="3" fillId="3" borderId="0" xfId="0" applyFont="1" applyFill="1"/>
    <xf numFmtId="43" fontId="4" fillId="3" borderId="1" xfId="1" applyFont="1" applyFill="1" applyBorder="1"/>
    <xf numFmtId="0" fontId="3" fillId="3" borderId="1" xfId="0" applyFont="1" applyFill="1" applyBorder="1"/>
    <xf numFmtId="43" fontId="3" fillId="3" borderId="1" xfId="1" applyFont="1" applyFill="1" applyBorder="1"/>
    <xf numFmtId="0" fontId="4" fillId="3" borderId="0" xfId="0" applyFont="1" applyFill="1"/>
    <xf numFmtId="43" fontId="4" fillId="3" borderId="0" xfId="1" applyFont="1" applyFill="1"/>
    <xf numFmtId="0" fontId="5" fillId="2" borderId="1" xfId="0" applyFont="1" applyFill="1" applyBorder="1" applyAlignment="1">
      <alignment horizontal="center"/>
    </xf>
    <xf numFmtId="0" fontId="10" fillId="3" borderId="1" xfId="0" applyFont="1" applyFill="1" applyBorder="1"/>
    <xf numFmtId="43" fontId="0" fillId="0" borderId="0" xfId="1" applyFont="1"/>
    <xf numFmtId="43" fontId="4" fillId="3" borderId="3" xfId="1" applyFont="1" applyFill="1" applyBorder="1"/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/>
    </xf>
    <xf numFmtId="43" fontId="5" fillId="2" borderId="14" xfId="1" applyFont="1" applyFill="1" applyBorder="1" applyAlignment="1">
      <alignment horizontal="center" vertical="center" wrapText="1"/>
    </xf>
    <xf numFmtId="43" fontId="5" fillId="2" borderId="15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5" fillId="2" borderId="12" xfId="1" applyFont="1" applyFill="1" applyBorder="1" applyAlignment="1">
      <alignment horizontal="center" vertical="center" wrapText="1"/>
    </xf>
    <xf numFmtId="43" fontId="5" fillId="2" borderId="13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10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</xdr:col>
      <xdr:colOff>1781175</xdr:colOff>
      <xdr:row>41</xdr:row>
      <xdr:rowOff>7567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7067550"/>
          <a:ext cx="1781175" cy="912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1"/>
  <sheetViews>
    <sheetView showGridLines="0" tabSelected="1" workbookViewId="0">
      <selection activeCell="N23" sqref="N23"/>
    </sheetView>
  </sheetViews>
  <sheetFormatPr defaultRowHeight="15" x14ac:dyDescent="0.25"/>
  <cols>
    <col min="2" max="2" width="23.5703125" bestFit="1" customWidth="1"/>
    <col min="3" max="3" width="11.5703125" bestFit="1" customWidth="1"/>
    <col min="4" max="4" width="12.7109375" bestFit="1" customWidth="1"/>
    <col min="5" max="5" width="12.85546875" customWidth="1"/>
    <col min="6" max="6" width="11" customWidth="1"/>
    <col min="7" max="7" width="11.5703125" bestFit="1" customWidth="1"/>
    <col min="8" max="8" width="15.5703125" customWidth="1"/>
    <col min="9" max="9" width="13.7109375" customWidth="1"/>
    <col min="10" max="11" width="12.7109375" bestFit="1" customWidth="1"/>
    <col min="12" max="14" width="11.5703125" bestFit="1" customWidth="1"/>
    <col min="15" max="15" width="24.28515625" customWidth="1"/>
  </cols>
  <sheetData>
    <row r="3" spans="2:8" x14ac:dyDescent="0.25">
      <c r="B3" s="1" t="s">
        <v>0</v>
      </c>
      <c r="C3" s="2"/>
      <c r="D3" s="3"/>
    </row>
    <row r="4" spans="2:8" x14ac:dyDescent="0.25">
      <c r="B4" s="3"/>
      <c r="C4" s="2"/>
      <c r="D4" s="3"/>
    </row>
    <row r="5" spans="2:8" ht="88.5" customHeight="1" x14ac:dyDescent="0.25">
      <c r="B5" s="4" t="s">
        <v>1</v>
      </c>
      <c r="C5" s="21" t="s">
        <v>2</v>
      </c>
      <c r="D5" s="22"/>
      <c r="E5" s="21" t="s">
        <v>3</v>
      </c>
      <c r="F5" s="22"/>
      <c r="G5" s="21" t="s">
        <v>4</v>
      </c>
      <c r="H5" s="22"/>
    </row>
    <row r="6" spans="2:8" x14ac:dyDescent="0.25">
      <c r="B6" s="5" t="s">
        <v>5</v>
      </c>
      <c r="C6" s="19">
        <v>20</v>
      </c>
      <c r="D6" s="19"/>
      <c r="E6" s="19">
        <v>96</v>
      </c>
      <c r="F6" s="19"/>
      <c r="G6" s="19">
        <f>SUM(C6:E6)</f>
        <v>116</v>
      </c>
      <c r="H6" s="19"/>
    </row>
    <row r="7" spans="2:8" x14ac:dyDescent="0.25">
      <c r="B7" s="5" t="s">
        <v>6</v>
      </c>
      <c r="C7" s="19">
        <v>20</v>
      </c>
      <c r="D7" s="19"/>
      <c r="E7" s="19">
        <v>82</v>
      </c>
      <c r="F7" s="19"/>
      <c r="G7" s="19">
        <f>SUM(C7:E7)</f>
        <v>102</v>
      </c>
      <c r="H7" s="19"/>
    </row>
    <row r="8" spans="2:8" x14ac:dyDescent="0.25">
      <c r="B8" s="5" t="s">
        <v>7</v>
      </c>
      <c r="C8" s="19">
        <v>17</v>
      </c>
      <c r="D8" s="19"/>
      <c r="E8" s="19">
        <v>47</v>
      </c>
      <c r="F8" s="19"/>
      <c r="G8" s="19">
        <f>SUM(C8:E8)</f>
        <v>64</v>
      </c>
      <c r="H8" s="19"/>
    </row>
    <row r="9" spans="2:8" x14ac:dyDescent="0.25">
      <c r="B9" s="5" t="s">
        <v>8</v>
      </c>
      <c r="C9" s="19">
        <v>20</v>
      </c>
      <c r="D9" s="19"/>
      <c r="E9" s="19">
        <v>65</v>
      </c>
      <c r="F9" s="19"/>
      <c r="G9" s="19">
        <f>SUM(C9:E9)</f>
        <v>85</v>
      </c>
      <c r="H9" s="19"/>
    </row>
    <row r="10" spans="2:8" x14ac:dyDescent="0.25">
      <c r="B10" s="5" t="s">
        <v>9</v>
      </c>
      <c r="C10" s="19">
        <v>18</v>
      </c>
      <c r="D10" s="19"/>
      <c r="E10" s="19">
        <v>67</v>
      </c>
      <c r="F10" s="19"/>
      <c r="G10" s="19">
        <f>SUM(C10:E10)</f>
        <v>85</v>
      </c>
      <c r="H10" s="19"/>
    </row>
    <row r="11" spans="2:8" x14ac:dyDescent="0.25">
      <c r="B11" s="6" t="s">
        <v>10</v>
      </c>
      <c r="C11" s="20">
        <f>SUM(C6:C10)</f>
        <v>95</v>
      </c>
      <c r="D11" s="20"/>
      <c r="E11" s="20">
        <f t="shared" ref="E11" si="0">SUM(E6:E10)</f>
        <v>357</v>
      </c>
      <c r="F11" s="20"/>
      <c r="G11" s="20">
        <f>SUM(G6:G10)</f>
        <v>452</v>
      </c>
      <c r="H11" s="20"/>
    </row>
    <row r="16" spans="2:8" x14ac:dyDescent="0.25">
      <c r="B16" s="7" t="s">
        <v>36</v>
      </c>
    </row>
    <row r="19" spans="2:15" ht="15.75" thickBot="1" x14ac:dyDescent="0.3"/>
    <row r="20" spans="2:15" ht="45" customHeight="1" thickBot="1" x14ac:dyDescent="0.3">
      <c r="B20" s="26" t="s">
        <v>1</v>
      </c>
      <c r="C20" s="28" t="s">
        <v>50</v>
      </c>
      <c r="D20" s="29"/>
      <c r="E20" s="30"/>
      <c r="F20" s="28" t="s">
        <v>51</v>
      </c>
      <c r="G20" s="29"/>
      <c r="H20" s="30"/>
      <c r="I20" s="28" t="s">
        <v>52</v>
      </c>
      <c r="J20" s="29"/>
      <c r="K20" s="30"/>
      <c r="L20" s="28" t="s">
        <v>53</v>
      </c>
      <c r="M20" s="29"/>
      <c r="N20" s="29"/>
      <c r="O20" s="24" t="s">
        <v>54</v>
      </c>
    </row>
    <row r="21" spans="2:15" ht="15.75" thickBot="1" x14ac:dyDescent="0.3">
      <c r="B21" s="27"/>
      <c r="C21" s="17">
        <v>2014</v>
      </c>
      <c r="D21" s="17">
        <v>2015</v>
      </c>
      <c r="E21" s="17" t="s">
        <v>10</v>
      </c>
      <c r="F21" s="17">
        <v>2014</v>
      </c>
      <c r="G21" s="17">
        <v>2015</v>
      </c>
      <c r="H21" s="17" t="s">
        <v>10</v>
      </c>
      <c r="I21" s="17">
        <v>2014</v>
      </c>
      <c r="J21" s="17">
        <v>2015</v>
      </c>
      <c r="K21" s="17" t="s">
        <v>10</v>
      </c>
      <c r="L21" s="17">
        <v>2014</v>
      </c>
      <c r="M21" s="17">
        <v>2015</v>
      </c>
      <c r="N21" s="18" t="s">
        <v>10</v>
      </c>
      <c r="O21" s="25"/>
    </row>
    <row r="22" spans="2:15" x14ac:dyDescent="0.25">
      <c r="B22" s="5" t="s">
        <v>5</v>
      </c>
      <c r="C22" s="16"/>
      <c r="D22" s="16">
        <f>((112874.4/1.22)/1.028)</f>
        <v>90000</v>
      </c>
      <c r="E22" s="16">
        <f>SUM(C22:D22)</f>
        <v>90000</v>
      </c>
      <c r="F22" s="16"/>
      <c r="G22" s="16">
        <f>((8340.17/1.22)/1.028)</f>
        <v>6650.0047840785865</v>
      </c>
      <c r="H22" s="16">
        <f>SUM(F22:G22)</f>
        <v>6650.0047840785865</v>
      </c>
      <c r="I22" s="16">
        <f t="shared" ref="I22:J26" si="1">C22+F22</f>
        <v>0</v>
      </c>
      <c r="J22" s="16">
        <f t="shared" si="1"/>
        <v>96650.004784078585</v>
      </c>
      <c r="K22" s="16">
        <f>SUM(I22:J22)</f>
        <v>96650.004784078585</v>
      </c>
      <c r="L22" s="16">
        <v>9103.9978950054192</v>
      </c>
      <c r="M22" s="16">
        <v>11930.95</v>
      </c>
      <c r="N22" s="16">
        <f>SUM(L22:M22)</f>
        <v>21034.947895005418</v>
      </c>
      <c r="O22" s="16">
        <f>K22+N22</f>
        <v>117684.952679084</v>
      </c>
    </row>
    <row r="23" spans="2:15" x14ac:dyDescent="0.25">
      <c r="B23" s="5" t="s">
        <v>11</v>
      </c>
      <c r="C23" s="8">
        <f>((5703.5/1.22)/1.02)</f>
        <v>4583.333333333333</v>
      </c>
      <c r="D23" s="8">
        <f>((62738.5/1.22)/1.02)</f>
        <v>50416.666666666664</v>
      </c>
      <c r="E23" s="8">
        <f t="shared" ref="E23:E26" si="2">SUM(C23:D23)</f>
        <v>55000</v>
      </c>
      <c r="F23" s="8">
        <f>((871.08/1.22)/1.02)</f>
        <v>700</v>
      </c>
      <c r="G23" s="8">
        <v>6650</v>
      </c>
      <c r="H23" s="8">
        <f t="shared" ref="H23:H26" si="3">SUM(F23:G23)</f>
        <v>7350</v>
      </c>
      <c r="I23" s="8">
        <f>C23+F23</f>
        <v>5283.333333333333</v>
      </c>
      <c r="J23" s="8">
        <f>D23+G23</f>
        <v>57066.666666666664</v>
      </c>
      <c r="K23" s="8">
        <f t="shared" ref="K23:K26" si="4">SUM(I23:J23)</f>
        <v>62350</v>
      </c>
      <c r="L23" s="8">
        <v>897.78206364513017</v>
      </c>
      <c r="M23" s="8">
        <v>18731.169999999998</v>
      </c>
      <c r="N23" s="8">
        <f>SUM(L23:M23)</f>
        <v>19628.952063645127</v>
      </c>
      <c r="O23" s="8">
        <f>K23+N23</f>
        <v>81978.95206364512</v>
      </c>
    </row>
    <row r="24" spans="2:15" x14ac:dyDescent="0.25">
      <c r="B24" s="5" t="s">
        <v>12</v>
      </c>
      <c r="C24" s="8">
        <f>((14621.7/1.22)/1.02)</f>
        <v>11750</v>
      </c>
      <c r="D24" s="8">
        <f>((43865.1/1.22)/1.02)</f>
        <v>35250</v>
      </c>
      <c r="E24" s="8">
        <f>SUM(C24:D24)</f>
        <v>47000</v>
      </c>
      <c r="F24" s="8">
        <v>1750</v>
      </c>
      <c r="G24" s="8">
        <v>4900</v>
      </c>
      <c r="H24" s="8">
        <f>SUM(F24:G24)</f>
        <v>6650</v>
      </c>
      <c r="I24" s="8">
        <f t="shared" si="1"/>
        <v>13500</v>
      </c>
      <c r="J24" s="8">
        <f t="shared" si="1"/>
        <v>40150</v>
      </c>
      <c r="K24" s="8">
        <f t="shared" si="4"/>
        <v>53650</v>
      </c>
      <c r="L24" s="8">
        <v>3715.07</v>
      </c>
      <c r="M24" s="8">
        <v>15118.74</v>
      </c>
      <c r="N24" s="8">
        <f>SUM(L24:M24)</f>
        <v>18833.810000000001</v>
      </c>
      <c r="O24" s="8">
        <f>K24+N24</f>
        <v>72483.81</v>
      </c>
    </row>
    <row r="25" spans="2:15" x14ac:dyDescent="0.25">
      <c r="B25" s="5" t="s">
        <v>8</v>
      </c>
      <c r="C25" s="8"/>
      <c r="D25" s="8">
        <f>((58486.8/1.22)/1.02)</f>
        <v>47000</v>
      </c>
      <c r="E25" s="8">
        <f t="shared" si="2"/>
        <v>47000</v>
      </c>
      <c r="F25" s="8"/>
      <c r="G25" s="8">
        <f>((8710.8/1.22)/1.02)</f>
        <v>7000</v>
      </c>
      <c r="H25" s="8">
        <f t="shared" si="3"/>
        <v>7000</v>
      </c>
      <c r="I25" s="8">
        <f t="shared" si="1"/>
        <v>0</v>
      </c>
      <c r="J25" s="8">
        <f t="shared" si="1"/>
        <v>54000</v>
      </c>
      <c r="K25" s="8">
        <f t="shared" si="4"/>
        <v>54000</v>
      </c>
      <c r="L25" s="8">
        <v>1028.8171006107359</v>
      </c>
      <c r="M25" s="8">
        <v>13935.46287367406</v>
      </c>
      <c r="N25" s="8">
        <f t="shared" ref="N25:N26" si="5">SUM(L25:M25)</f>
        <v>14964.279974284796</v>
      </c>
      <c r="O25" s="8">
        <f t="shared" ref="O25:O26" si="6">K25+N25</f>
        <v>68964.2799742848</v>
      </c>
    </row>
    <row r="26" spans="2:15" x14ac:dyDescent="0.25">
      <c r="B26" s="5" t="s">
        <v>9</v>
      </c>
      <c r="C26" s="8"/>
      <c r="D26" s="8">
        <f>((58486.8/1.22/1.02))</f>
        <v>47000</v>
      </c>
      <c r="E26" s="8">
        <f t="shared" si="2"/>
        <v>47000</v>
      </c>
      <c r="F26" s="8"/>
      <c r="G26" s="8">
        <f>((7839.72/1.22)/1.02)</f>
        <v>6300</v>
      </c>
      <c r="H26" s="8">
        <f t="shared" si="3"/>
        <v>6300</v>
      </c>
      <c r="I26" s="8">
        <f t="shared" si="1"/>
        <v>0</v>
      </c>
      <c r="J26" s="8">
        <f t="shared" si="1"/>
        <v>53300</v>
      </c>
      <c r="K26" s="8">
        <f t="shared" si="4"/>
        <v>53300</v>
      </c>
      <c r="L26" s="8">
        <v>645.00160720025713</v>
      </c>
      <c r="M26" s="8">
        <v>18097.436515589845</v>
      </c>
      <c r="N26" s="8">
        <f t="shared" si="5"/>
        <v>18742.438122790103</v>
      </c>
      <c r="O26" s="8">
        <f t="shared" si="6"/>
        <v>72042.438122790103</v>
      </c>
    </row>
    <row r="27" spans="2:15" x14ac:dyDescent="0.25">
      <c r="B27" s="9" t="s">
        <v>13</v>
      </c>
      <c r="C27" s="10">
        <f>SUM(C22:C26)</f>
        <v>16333.333333333332</v>
      </c>
      <c r="D27" s="10">
        <f t="shared" ref="D27:E27" si="7">SUM(D22:D26)</f>
        <v>269666.66666666663</v>
      </c>
      <c r="E27" s="10">
        <f t="shared" si="7"/>
        <v>286000</v>
      </c>
      <c r="F27" s="10">
        <f>SUM(F22:F26)</f>
        <v>2450</v>
      </c>
      <c r="G27" s="10">
        <f t="shared" ref="G27:H27" si="8">SUM(G22:G26)</f>
        <v>31500.004784078585</v>
      </c>
      <c r="H27" s="10">
        <f t="shared" si="8"/>
        <v>33950.004784078585</v>
      </c>
      <c r="I27" s="10">
        <f>SUM(I22:I26)</f>
        <v>18783.333333333332</v>
      </c>
      <c r="J27" s="10">
        <f t="shared" ref="J27:K27" si="9">SUM(J22:J26)</f>
        <v>301166.67145074526</v>
      </c>
      <c r="K27" s="10">
        <f t="shared" si="9"/>
        <v>319950.00478407857</v>
      </c>
      <c r="L27" s="10">
        <f>SUM(L22:L26)</f>
        <v>15390.668666461543</v>
      </c>
      <c r="M27" s="10">
        <f t="shared" ref="M27" si="10">SUM(M22:M26)</f>
        <v>77813.759389263898</v>
      </c>
      <c r="N27" s="10">
        <f>SUM(N22:N26)</f>
        <v>93204.428055725453</v>
      </c>
      <c r="O27" s="10">
        <f>SUM(O22:O26)+0.01</f>
        <v>413154.44283980399</v>
      </c>
    </row>
    <row r="29" spans="2:15" ht="41.25" customHeight="1" x14ac:dyDescent="0.25">
      <c r="B29" s="23" t="s">
        <v>55</v>
      </c>
      <c r="C29" s="23"/>
      <c r="D29" s="23"/>
      <c r="E29" s="23"/>
      <c r="F29" s="23"/>
      <c r="G29" s="23"/>
      <c r="H29" s="23"/>
      <c r="I29" s="23"/>
      <c r="J29" s="23"/>
    </row>
    <row r="30" spans="2:15" x14ac:dyDescent="0.25">
      <c r="C30" s="15"/>
      <c r="D30" s="15"/>
      <c r="E30" s="15"/>
      <c r="F30" s="15"/>
    </row>
    <row r="31" spans="2:15" ht="1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</row>
  </sheetData>
  <mergeCells count="29">
    <mergeCell ref="B29:J29"/>
    <mergeCell ref="B31:J31"/>
    <mergeCell ref="O20:O21"/>
    <mergeCell ref="B20:B21"/>
    <mergeCell ref="C20:E20"/>
    <mergeCell ref="F20:H20"/>
    <mergeCell ref="I20:K20"/>
    <mergeCell ref="L20:N20"/>
    <mergeCell ref="C5:D5"/>
    <mergeCell ref="C6:D6"/>
    <mergeCell ref="E5:F5"/>
    <mergeCell ref="E6:F6"/>
    <mergeCell ref="G5:H5"/>
    <mergeCell ref="G6:H6"/>
    <mergeCell ref="C7:D7"/>
    <mergeCell ref="C8:D8"/>
    <mergeCell ref="C9:D9"/>
    <mergeCell ref="C10:D10"/>
    <mergeCell ref="C11:D11"/>
    <mergeCell ref="E7:F7"/>
    <mergeCell ref="E8:F8"/>
    <mergeCell ref="E9:F9"/>
    <mergeCell ref="E10:F10"/>
    <mergeCell ref="E11:F11"/>
    <mergeCell ref="G7:H7"/>
    <mergeCell ref="G8:H8"/>
    <mergeCell ref="G9:H9"/>
    <mergeCell ref="G10:H10"/>
    <mergeCell ref="G11:H11"/>
  </mergeCells>
  <pageMargins left="0.7" right="0.7" top="0.75" bottom="0.75" header="0.3" footer="0.3"/>
  <pageSetup paperSize="9" scale="63" orientation="landscape" horizontalDpi="0" verticalDpi="0" r:id="rId1"/>
  <ignoredErrors>
    <ignoredError sqref="L27:M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4"/>
  <sheetViews>
    <sheetView workbookViewId="0">
      <selection activeCell="N10" sqref="N10"/>
    </sheetView>
  </sheetViews>
  <sheetFormatPr defaultRowHeight="14.25" x14ac:dyDescent="0.2"/>
  <cols>
    <col min="1" max="1" width="5.5703125" style="11" customWidth="1"/>
    <col min="2" max="2" width="40.28515625" style="11" customWidth="1"/>
    <col min="3" max="3" width="15.28515625" style="11" bestFit="1" customWidth="1"/>
    <col min="4" max="4" width="15.5703125" style="11" customWidth="1"/>
    <col min="5" max="5" width="12.5703125" style="11" bestFit="1" customWidth="1"/>
    <col min="6" max="6" width="21.140625" style="11" bestFit="1" customWidth="1"/>
    <col min="7" max="7" width="11.28515625" style="11" bestFit="1" customWidth="1"/>
    <col min="8" max="8" width="12.5703125" style="11" bestFit="1" customWidth="1"/>
    <col min="9" max="9" width="17.5703125" style="11" bestFit="1" customWidth="1"/>
    <col min="10" max="10" width="18.140625" style="11" bestFit="1" customWidth="1"/>
    <col min="11" max="11" width="18.7109375" style="11" bestFit="1" customWidth="1"/>
    <col min="12" max="12" width="15.28515625" style="11" bestFit="1" customWidth="1"/>
    <col min="13" max="13" width="21.42578125" style="11" bestFit="1" customWidth="1"/>
    <col min="14" max="14" width="34.140625" style="11" bestFit="1" customWidth="1"/>
    <col min="15" max="15" width="11.5703125" style="11" bestFit="1" customWidth="1"/>
    <col min="16" max="16384" width="9.140625" style="11"/>
  </cols>
  <sheetData>
    <row r="4" spans="2:16" ht="15" x14ac:dyDescent="0.25">
      <c r="B4" s="7" t="s">
        <v>14</v>
      </c>
    </row>
    <row r="5" spans="2:16" ht="15" x14ac:dyDescent="0.25">
      <c r="B5" s="7" t="s">
        <v>48</v>
      </c>
    </row>
    <row r="6" spans="2:16" ht="18" x14ac:dyDescent="0.25">
      <c r="B6" s="31" t="s">
        <v>15</v>
      </c>
      <c r="C6" s="33" t="s">
        <v>16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 t="s">
        <v>17</v>
      </c>
      <c r="P6" s="12"/>
    </row>
    <row r="7" spans="2:16" ht="15" x14ac:dyDescent="0.25">
      <c r="B7" s="32"/>
      <c r="C7" s="13" t="s">
        <v>18</v>
      </c>
      <c r="D7" s="13" t="s">
        <v>19</v>
      </c>
      <c r="E7" s="13" t="s">
        <v>20</v>
      </c>
      <c r="F7" s="13" t="s">
        <v>21</v>
      </c>
      <c r="G7" s="13" t="s">
        <v>22</v>
      </c>
      <c r="H7" s="13" t="s">
        <v>23</v>
      </c>
      <c r="I7" s="13" t="s">
        <v>24</v>
      </c>
      <c r="J7" s="13" t="s">
        <v>25</v>
      </c>
      <c r="K7" s="13" t="s">
        <v>26</v>
      </c>
      <c r="L7" s="13" t="s">
        <v>27</v>
      </c>
      <c r="M7" s="13" t="s">
        <v>28</v>
      </c>
      <c r="N7" s="13" t="s">
        <v>29</v>
      </c>
      <c r="O7" s="32"/>
      <c r="P7" s="12"/>
    </row>
    <row r="8" spans="2:16" ht="15" x14ac:dyDescent="0.25">
      <c r="B8" s="14" t="s">
        <v>30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0">
        <f>SUM(C8:N8)</f>
        <v>0</v>
      </c>
      <c r="P8" s="12"/>
    </row>
    <row r="9" spans="2:16" ht="15" x14ac:dyDescent="0.25">
      <c r="B9" s="14" t="s">
        <v>31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4000</v>
      </c>
      <c r="K9" s="8">
        <v>6000</v>
      </c>
      <c r="L9" s="8">
        <v>0</v>
      </c>
      <c r="M9" s="8">
        <v>0</v>
      </c>
      <c r="N9" s="8">
        <v>1701.24</v>
      </c>
      <c r="O9" s="10">
        <f>SUM(C9:N9)</f>
        <v>11701.24</v>
      </c>
      <c r="P9" s="12"/>
    </row>
    <row r="10" spans="2:16" ht="15" x14ac:dyDescent="0.25">
      <c r="B10" s="14" t="s">
        <v>32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4000</v>
      </c>
      <c r="J10" s="8">
        <v>0</v>
      </c>
      <c r="K10" s="8">
        <v>6000</v>
      </c>
      <c r="L10" s="8">
        <v>0</v>
      </c>
      <c r="M10" s="8">
        <v>0</v>
      </c>
      <c r="N10" s="8">
        <v>0</v>
      </c>
      <c r="O10" s="10">
        <f>SUM(C10:N10)</f>
        <v>10000</v>
      </c>
      <c r="P10" s="12"/>
    </row>
    <row r="11" spans="2:16" ht="15" x14ac:dyDescent="0.25">
      <c r="B11" s="14" t="s">
        <v>33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4000</v>
      </c>
      <c r="J11" s="8">
        <v>0</v>
      </c>
      <c r="K11" s="8">
        <v>6000</v>
      </c>
      <c r="L11" s="8">
        <v>0</v>
      </c>
      <c r="M11" s="8">
        <v>0</v>
      </c>
      <c r="N11" s="8">
        <v>0</v>
      </c>
      <c r="O11" s="10">
        <f>SUM(C11:N11)</f>
        <v>10000</v>
      </c>
      <c r="P11" s="12"/>
    </row>
    <row r="12" spans="2:16" ht="15" x14ac:dyDescent="0.25">
      <c r="B12" s="14" t="s">
        <v>34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4000</v>
      </c>
      <c r="J12" s="8">
        <v>0</v>
      </c>
      <c r="K12" s="8">
        <v>6000</v>
      </c>
      <c r="L12" s="8">
        <v>0</v>
      </c>
      <c r="M12" s="8">
        <v>0</v>
      </c>
      <c r="N12" s="8">
        <v>0</v>
      </c>
      <c r="O12" s="10">
        <f>SUM(C12:N12)</f>
        <v>10000</v>
      </c>
      <c r="P12" s="12"/>
    </row>
    <row r="13" spans="2:16" ht="15" x14ac:dyDescent="0.25">
      <c r="B13" s="10" t="s">
        <v>17</v>
      </c>
      <c r="C13" s="10">
        <f t="shared" ref="C13:O13" si="0">SUM(C8:C12)</f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12000</v>
      </c>
      <c r="J13" s="10">
        <f t="shared" si="0"/>
        <v>4000</v>
      </c>
      <c r="K13" s="10">
        <f t="shared" si="0"/>
        <v>24000</v>
      </c>
      <c r="L13" s="10">
        <f t="shared" si="0"/>
        <v>0</v>
      </c>
      <c r="M13" s="10">
        <f t="shared" si="0"/>
        <v>0</v>
      </c>
      <c r="N13" s="10">
        <f t="shared" si="0"/>
        <v>1701.24</v>
      </c>
      <c r="O13" s="10">
        <f t="shared" si="0"/>
        <v>41701.24</v>
      </c>
      <c r="P13" s="12"/>
    </row>
    <row r="14" spans="2:16" x14ac:dyDescent="0.2">
      <c r="P14" s="12"/>
    </row>
    <row r="15" spans="2:16" x14ac:dyDescent="0.2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16" ht="15" x14ac:dyDescent="0.25">
      <c r="B16" s="7" t="s">
        <v>47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ht="15" x14ac:dyDescent="0.25">
      <c r="B17" s="7" t="s">
        <v>49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ht="18" x14ac:dyDescent="0.25">
      <c r="B18" s="26" t="s">
        <v>37</v>
      </c>
      <c r="C18" s="36" t="s">
        <v>16</v>
      </c>
      <c r="D18" s="37"/>
      <c r="E18" s="26" t="s">
        <v>17</v>
      </c>
      <c r="F18" s="12"/>
      <c r="J18" s="12"/>
      <c r="K18" s="12"/>
      <c r="L18" s="12"/>
      <c r="M18" s="12"/>
      <c r="N18" s="12"/>
      <c r="O18" s="12"/>
      <c r="P18" s="12"/>
    </row>
    <row r="19" spans="2:16" ht="15" x14ac:dyDescent="0.25">
      <c r="B19" s="35"/>
      <c r="C19" s="13" t="s">
        <v>38</v>
      </c>
      <c r="D19" s="13" t="s">
        <v>27</v>
      </c>
      <c r="E19" s="35"/>
      <c r="J19" s="12"/>
      <c r="K19" s="12"/>
      <c r="L19" s="12"/>
      <c r="M19" s="12"/>
      <c r="N19" s="12"/>
      <c r="O19" s="12"/>
      <c r="P19" s="12"/>
    </row>
    <row r="20" spans="2:16" x14ac:dyDescent="0.2">
      <c r="B20" s="14" t="s">
        <v>39</v>
      </c>
      <c r="C20" s="8">
        <v>21672.400000000001</v>
      </c>
      <c r="D20" s="8">
        <v>2104.11</v>
      </c>
      <c r="E20" s="8">
        <f>SUM(C20:D20)</f>
        <v>23776.510000000002</v>
      </c>
      <c r="J20" s="12"/>
      <c r="K20" s="12"/>
      <c r="L20" s="12"/>
      <c r="M20" s="12"/>
      <c r="N20" s="12"/>
      <c r="O20" s="12"/>
      <c r="P20" s="12"/>
    </row>
    <row r="21" spans="2:16" x14ac:dyDescent="0.2">
      <c r="B21" s="14" t="s">
        <v>40</v>
      </c>
      <c r="C21" s="8">
        <v>0</v>
      </c>
      <c r="D21" s="8">
        <v>1753.42</v>
      </c>
      <c r="E21" s="8">
        <f t="shared" ref="E21:E24" si="1">SUM(C21:D21)</f>
        <v>1753.42</v>
      </c>
      <c r="J21" s="12"/>
      <c r="K21" s="12"/>
      <c r="L21" s="12"/>
      <c r="M21" s="12"/>
      <c r="N21" s="12"/>
      <c r="O21" s="12"/>
      <c r="P21" s="12"/>
    </row>
    <row r="22" spans="2:16" x14ac:dyDescent="0.2">
      <c r="B22" s="14" t="s">
        <v>41</v>
      </c>
      <c r="C22" s="8">
        <v>0</v>
      </c>
      <c r="D22" s="8">
        <v>1671.23</v>
      </c>
      <c r="E22" s="8">
        <f t="shared" si="1"/>
        <v>1671.23</v>
      </c>
      <c r="J22" s="12"/>
      <c r="K22" s="12"/>
      <c r="L22" s="12"/>
      <c r="M22" s="12"/>
      <c r="N22" s="12"/>
      <c r="O22" s="12"/>
      <c r="P22" s="12"/>
    </row>
    <row r="23" spans="2:16" x14ac:dyDescent="0.2">
      <c r="B23" s="14" t="s">
        <v>42</v>
      </c>
      <c r="C23" s="8">
        <v>0</v>
      </c>
      <c r="D23" s="8">
        <f>7506.85+496+689+978.14</f>
        <v>9669.99</v>
      </c>
      <c r="E23" s="8">
        <f t="shared" si="1"/>
        <v>9669.99</v>
      </c>
      <c r="J23" s="12"/>
      <c r="K23" s="12"/>
      <c r="L23" s="12"/>
      <c r="M23" s="12"/>
      <c r="N23" s="12"/>
      <c r="O23" s="12"/>
      <c r="P23" s="12"/>
    </row>
    <row r="24" spans="2:16" x14ac:dyDescent="0.2">
      <c r="B24" s="14" t="s">
        <v>43</v>
      </c>
      <c r="C24" s="8">
        <v>0</v>
      </c>
      <c r="D24" s="8">
        <f>7506.85+663.2+586.23</f>
        <v>8756.2800000000007</v>
      </c>
      <c r="E24" s="8">
        <f t="shared" si="1"/>
        <v>8756.2800000000007</v>
      </c>
      <c r="J24" s="12"/>
      <c r="K24" s="12"/>
      <c r="L24" s="12"/>
      <c r="M24" s="12"/>
      <c r="N24" s="12"/>
      <c r="O24" s="12"/>
      <c r="P24" s="12"/>
    </row>
    <row r="25" spans="2:16" ht="15" x14ac:dyDescent="0.25">
      <c r="B25" s="10" t="s">
        <v>17</v>
      </c>
      <c r="C25" s="10">
        <f>SUM(C20:C24)</f>
        <v>21672.400000000001</v>
      </c>
      <c r="D25" s="10">
        <f>SUM(D20:D24)</f>
        <v>23955.03</v>
      </c>
      <c r="E25" s="10">
        <f>SUM(E20:E24)</f>
        <v>45627.43</v>
      </c>
      <c r="J25" s="12"/>
      <c r="K25" s="12"/>
      <c r="L25" s="12"/>
      <c r="M25" s="12"/>
      <c r="N25" s="12"/>
      <c r="O25" s="12"/>
      <c r="P25" s="12"/>
    </row>
    <row r="26" spans="2:16" x14ac:dyDescent="0.2">
      <c r="C26" s="12"/>
      <c r="D26" s="12"/>
      <c r="E26" s="12"/>
      <c r="F26" s="12"/>
      <c r="G26" s="12"/>
      <c r="H26" s="12"/>
      <c r="J26" s="12"/>
      <c r="K26" s="12"/>
      <c r="L26" s="12"/>
      <c r="M26" s="12"/>
      <c r="N26" s="12"/>
      <c r="O26" s="12"/>
      <c r="P26" s="12"/>
    </row>
    <row r="27" spans="2:16" x14ac:dyDescent="0.2">
      <c r="J27" s="12"/>
      <c r="K27" s="12"/>
      <c r="L27" s="12"/>
      <c r="M27" s="12"/>
      <c r="N27" s="12"/>
      <c r="O27" s="12"/>
      <c r="P27" s="12"/>
    </row>
    <row r="28" spans="2:16" ht="15" x14ac:dyDescent="0.25">
      <c r="B28" s="7" t="s">
        <v>35</v>
      </c>
      <c r="J28" s="12"/>
      <c r="K28" s="12"/>
      <c r="L28" s="12"/>
      <c r="M28" s="12"/>
      <c r="N28" s="12"/>
      <c r="O28" s="12"/>
      <c r="P28" s="12"/>
    </row>
    <row r="29" spans="2:16" x14ac:dyDescent="0.2">
      <c r="J29" s="12"/>
      <c r="K29" s="12"/>
      <c r="L29" s="12"/>
      <c r="M29" s="12"/>
      <c r="N29" s="12"/>
      <c r="O29" s="12"/>
      <c r="P29" s="12"/>
    </row>
    <row r="30" spans="2:16" x14ac:dyDescent="0.2">
      <c r="B30" s="11" t="s">
        <v>44</v>
      </c>
      <c r="J30" s="12"/>
      <c r="K30" s="12"/>
      <c r="L30" s="12"/>
      <c r="M30" s="12"/>
      <c r="N30" s="12"/>
      <c r="O30" s="12"/>
      <c r="P30" s="12"/>
    </row>
    <row r="31" spans="2:16" x14ac:dyDescent="0.2">
      <c r="B31" s="11" t="s">
        <v>45</v>
      </c>
      <c r="J31" s="12"/>
      <c r="K31" s="12"/>
      <c r="L31" s="12"/>
      <c r="M31" s="12"/>
      <c r="N31" s="12"/>
      <c r="O31" s="12"/>
      <c r="P31" s="12"/>
    </row>
    <row r="32" spans="2:16" x14ac:dyDescent="0.2">
      <c r="B32" s="11" t="s">
        <v>46</v>
      </c>
      <c r="J32" s="12"/>
      <c r="K32" s="12"/>
      <c r="L32" s="12"/>
      <c r="M32" s="12"/>
      <c r="N32" s="12"/>
      <c r="O32" s="12"/>
      <c r="P32" s="12"/>
    </row>
    <row r="33" spans="3:16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</sheetData>
  <mergeCells count="6">
    <mergeCell ref="B6:B7"/>
    <mergeCell ref="C6:N6"/>
    <mergeCell ref="O6:O7"/>
    <mergeCell ref="B18:B19"/>
    <mergeCell ref="C18:D18"/>
    <mergeCell ref="E18:E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S51"/>
  <sheetViews>
    <sheetView showGridLines="0" workbookViewId="0">
      <selection activeCell="B2" sqref="B2"/>
    </sheetView>
  </sheetViews>
  <sheetFormatPr defaultColWidth="14.7109375" defaultRowHeight="15" x14ac:dyDescent="0.25"/>
  <cols>
    <col min="2" max="2" width="31.140625" bestFit="1" customWidth="1"/>
    <col min="3" max="3" width="11.5703125" bestFit="1" customWidth="1"/>
    <col min="4" max="5" width="16.7109375" customWidth="1"/>
    <col min="6" max="6" width="11.5703125" bestFit="1" customWidth="1"/>
    <col min="7" max="7" width="17.85546875" customWidth="1"/>
    <col min="8" max="8" width="13" customWidth="1"/>
    <col min="9" max="9" width="11.5703125" bestFit="1" customWidth="1"/>
    <col min="10" max="10" width="14.7109375" customWidth="1"/>
    <col min="11" max="11" width="14.28515625" customWidth="1"/>
    <col min="12" max="12" width="13.85546875" customWidth="1"/>
    <col min="13" max="13" width="11.5703125" bestFit="1" customWidth="1"/>
    <col min="14" max="14" width="13.5703125" customWidth="1"/>
    <col min="15" max="15" width="15.85546875" customWidth="1"/>
  </cols>
  <sheetData>
    <row r="2" spans="2:8" x14ac:dyDescent="0.25">
      <c r="B2" s="1" t="s">
        <v>0</v>
      </c>
      <c r="C2" s="2"/>
      <c r="D2" s="3"/>
    </row>
    <row r="3" spans="2:8" x14ac:dyDescent="0.25">
      <c r="B3" s="3"/>
      <c r="C3" s="2"/>
      <c r="D3" s="3"/>
    </row>
    <row r="4" spans="2:8" ht="98.25" customHeight="1" x14ac:dyDescent="0.25">
      <c r="B4" s="4" t="s">
        <v>1</v>
      </c>
      <c r="C4" s="21" t="s">
        <v>2</v>
      </c>
      <c r="D4" s="22"/>
      <c r="E4" s="21" t="s">
        <v>3</v>
      </c>
      <c r="F4" s="22"/>
      <c r="G4" s="21" t="s">
        <v>4</v>
      </c>
      <c r="H4" s="22"/>
    </row>
    <row r="5" spans="2:8" x14ac:dyDescent="0.25">
      <c r="B5" s="5" t="s">
        <v>56</v>
      </c>
      <c r="C5" s="19">
        <v>21</v>
      </c>
      <c r="D5" s="19"/>
      <c r="E5" s="19">
        <v>31</v>
      </c>
      <c r="F5" s="19"/>
      <c r="G5" s="19">
        <f t="shared" ref="G5:G20" si="0">SUM(C5:E5)</f>
        <v>52</v>
      </c>
      <c r="H5" s="19"/>
    </row>
    <row r="6" spans="2:8" x14ac:dyDescent="0.25">
      <c r="B6" s="5" t="s">
        <v>57</v>
      </c>
      <c r="C6" s="19">
        <v>21</v>
      </c>
      <c r="D6" s="19"/>
      <c r="E6" s="19">
        <v>25</v>
      </c>
      <c r="F6" s="19"/>
      <c r="G6" s="19">
        <f t="shared" si="0"/>
        <v>46</v>
      </c>
      <c r="H6" s="19"/>
    </row>
    <row r="7" spans="2:8" x14ac:dyDescent="0.25">
      <c r="B7" s="5" t="s">
        <v>58</v>
      </c>
      <c r="C7" s="19">
        <v>21</v>
      </c>
      <c r="D7" s="19"/>
      <c r="E7" s="19">
        <v>28</v>
      </c>
      <c r="F7" s="19"/>
      <c r="G7" s="19">
        <f t="shared" si="0"/>
        <v>49</v>
      </c>
      <c r="H7" s="19"/>
    </row>
    <row r="8" spans="2:8" x14ac:dyDescent="0.25">
      <c r="B8" s="5" t="s">
        <v>59</v>
      </c>
      <c r="C8" s="19">
        <v>21</v>
      </c>
      <c r="D8" s="19"/>
      <c r="E8" s="19">
        <v>13</v>
      </c>
      <c r="F8" s="19"/>
      <c r="G8" s="19">
        <f t="shared" si="0"/>
        <v>34</v>
      </c>
      <c r="H8" s="19"/>
    </row>
    <row r="9" spans="2:8" x14ac:dyDescent="0.25">
      <c r="B9" s="5" t="s">
        <v>60</v>
      </c>
      <c r="C9" s="19">
        <v>19</v>
      </c>
      <c r="D9" s="19"/>
      <c r="E9" s="19">
        <v>12</v>
      </c>
      <c r="F9" s="19"/>
      <c r="G9" s="19">
        <f t="shared" si="0"/>
        <v>31</v>
      </c>
      <c r="H9" s="19"/>
    </row>
    <row r="10" spans="2:8" x14ac:dyDescent="0.25">
      <c r="B10" s="5" t="s">
        <v>61</v>
      </c>
      <c r="C10" s="19">
        <v>19</v>
      </c>
      <c r="D10" s="19"/>
      <c r="E10" s="19">
        <v>20</v>
      </c>
      <c r="F10" s="19"/>
      <c r="G10" s="19">
        <f t="shared" si="0"/>
        <v>39</v>
      </c>
      <c r="H10" s="19"/>
    </row>
    <row r="11" spans="2:8" x14ac:dyDescent="0.25">
      <c r="B11" s="5" t="s">
        <v>62</v>
      </c>
      <c r="C11" s="19">
        <v>19</v>
      </c>
      <c r="D11" s="19"/>
      <c r="E11" s="19">
        <v>16</v>
      </c>
      <c r="F11" s="19"/>
      <c r="G11" s="19">
        <f t="shared" si="0"/>
        <v>35</v>
      </c>
      <c r="H11" s="19"/>
    </row>
    <row r="12" spans="2:8" x14ac:dyDescent="0.25">
      <c r="B12" s="5" t="s">
        <v>63</v>
      </c>
      <c r="C12" s="19">
        <v>19</v>
      </c>
      <c r="D12" s="19"/>
      <c r="E12" s="19">
        <v>14</v>
      </c>
      <c r="F12" s="19"/>
      <c r="G12" s="19">
        <f t="shared" si="0"/>
        <v>33</v>
      </c>
      <c r="H12" s="19"/>
    </row>
    <row r="13" spans="2:8" x14ac:dyDescent="0.25">
      <c r="B13" s="5" t="s">
        <v>64</v>
      </c>
      <c r="C13" s="19">
        <v>18</v>
      </c>
      <c r="D13" s="19"/>
      <c r="E13" s="19">
        <v>11</v>
      </c>
      <c r="F13" s="19"/>
      <c r="G13" s="19">
        <f t="shared" si="0"/>
        <v>29</v>
      </c>
      <c r="H13" s="19"/>
    </row>
    <row r="14" spans="2:8" x14ac:dyDescent="0.25">
      <c r="B14" s="5" t="s">
        <v>65</v>
      </c>
      <c r="C14" s="19">
        <v>19</v>
      </c>
      <c r="D14" s="19"/>
      <c r="E14" s="19">
        <v>16</v>
      </c>
      <c r="F14" s="19"/>
      <c r="G14" s="19">
        <f t="shared" si="0"/>
        <v>35</v>
      </c>
      <c r="H14" s="19"/>
    </row>
    <row r="15" spans="2:8" x14ac:dyDescent="0.25">
      <c r="B15" s="5" t="s">
        <v>66</v>
      </c>
      <c r="C15" s="19">
        <v>21</v>
      </c>
      <c r="D15" s="19"/>
      <c r="E15" s="19">
        <v>14</v>
      </c>
      <c r="F15" s="19"/>
      <c r="G15" s="19">
        <f t="shared" si="0"/>
        <v>35</v>
      </c>
      <c r="H15" s="19"/>
    </row>
    <row r="16" spans="2:8" x14ac:dyDescent="0.25">
      <c r="B16" s="5" t="s">
        <v>67</v>
      </c>
      <c r="C16" s="19">
        <v>17</v>
      </c>
      <c r="D16" s="19"/>
      <c r="E16" s="19">
        <v>21</v>
      </c>
      <c r="F16" s="19"/>
      <c r="G16" s="19">
        <f t="shared" si="0"/>
        <v>38</v>
      </c>
      <c r="H16" s="19"/>
    </row>
    <row r="17" spans="2:15" x14ac:dyDescent="0.25">
      <c r="B17" s="5" t="s">
        <v>68</v>
      </c>
      <c r="C17" s="19">
        <v>20</v>
      </c>
      <c r="D17" s="19"/>
      <c r="E17" s="19">
        <v>23</v>
      </c>
      <c r="F17" s="19"/>
      <c r="G17" s="19">
        <f t="shared" si="0"/>
        <v>43</v>
      </c>
      <c r="H17" s="19"/>
    </row>
    <row r="18" spans="2:15" x14ac:dyDescent="0.25">
      <c r="B18" s="5" t="s">
        <v>69</v>
      </c>
      <c r="C18" s="19">
        <v>20</v>
      </c>
      <c r="D18" s="19"/>
      <c r="E18" s="19">
        <v>15</v>
      </c>
      <c r="F18" s="19"/>
      <c r="G18" s="19">
        <f t="shared" si="0"/>
        <v>35</v>
      </c>
      <c r="H18" s="19"/>
    </row>
    <row r="19" spans="2:15" x14ac:dyDescent="0.25">
      <c r="B19" s="5" t="s">
        <v>70</v>
      </c>
      <c r="C19" s="19">
        <v>19</v>
      </c>
      <c r="D19" s="19"/>
      <c r="E19" s="19">
        <v>18</v>
      </c>
      <c r="F19" s="19"/>
      <c r="G19" s="19">
        <f t="shared" si="0"/>
        <v>37</v>
      </c>
      <c r="H19" s="19"/>
    </row>
    <row r="20" spans="2:15" x14ac:dyDescent="0.25">
      <c r="B20" s="5" t="s">
        <v>71</v>
      </c>
      <c r="C20" s="19">
        <v>21</v>
      </c>
      <c r="D20" s="19"/>
      <c r="E20" s="19">
        <v>16</v>
      </c>
      <c r="F20" s="19"/>
      <c r="G20" s="19">
        <f t="shared" si="0"/>
        <v>37</v>
      </c>
      <c r="H20" s="19"/>
    </row>
    <row r="21" spans="2:15" x14ac:dyDescent="0.25">
      <c r="B21" s="6" t="s">
        <v>10</v>
      </c>
      <c r="C21" s="20">
        <f>SUM(C5:C20)</f>
        <v>315</v>
      </c>
      <c r="D21" s="20"/>
      <c r="E21" s="20">
        <f>SUM(E5:E20)</f>
        <v>293</v>
      </c>
      <c r="F21" s="20"/>
      <c r="G21" s="20">
        <f>SUM(G5:G20)</f>
        <v>608</v>
      </c>
      <c r="H21" s="20"/>
    </row>
    <row r="27" spans="2:15" x14ac:dyDescent="0.25">
      <c r="B27" s="7" t="s">
        <v>36</v>
      </c>
    </row>
    <row r="30" spans="2:15" ht="45" customHeight="1" thickBot="1" x14ac:dyDescent="0.3">
      <c r="B30" s="26" t="s">
        <v>1</v>
      </c>
      <c r="C30" s="28" t="s">
        <v>50</v>
      </c>
      <c r="D30" s="29"/>
      <c r="E30" s="30"/>
      <c r="F30" s="28" t="s">
        <v>51</v>
      </c>
      <c r="G30" s="29"/>
      <c r="H30" s="30"/>
      <c r="I30" s="28" t="s">
        <v>52</v>
      </c>
      <c r="J30" s="29"/>
      <c r="K30" s="30"/>
      <c r="L30" s="28" t="s">
        <v>53</v>
      </c>
      <c r="M30" s="29"/>
      <c r="N30" s="29"/>
      <c r="O30" s="38" t="s">
        <v>72</v>
      </c>
    </row>
    <row r="31" spans="2:15" ht="15.75" thickBot="1" x14ac:dyDescent="0.3">
      <c r="B31" s="35"/>
      <c r="C31" s="17">
        <v>2014</v>
      </c>
      <c r="D31" s="17">
        <v>2015</v>
      </c>
      <c r="E31" s="17" t="s">
        <v>10</v>
      </c>
      <c r="F31" s="17" t="s">
        <v>73</v>
      </c>
      <c r="G31" s="17" t="s">
        <v>74</v>
      </c>
      <c r="H31" s="17" t="s">
        <v>10</v>
      </c>
      <c r="I31" s="17" t="s">
        <v>73</v>
      </c>
      <c r="J31" s="17" t="s">
        <v>74</v>
      </c>
      <c r="K31" s="17" t="s">
        <v>10</v>
      </c>
      <c r="L31" s="17" t="s">
        <v>73</v>
      </c>
      <c r="M31" s="17" t="s">
        <v>74</v>
      </c>
      <c r="N31" s="18" t="s">
        <v>10</v>
      </c>
      <c r="O31" s="39"/>
    </row>
    <row r="32" spans="2:15" x14ac:dyDescent="0.25">
      <c r="B32" s="5" t="s">
        <v>56</v>
      </c>
      <c r="C32" s="8"/>
      <c r="D32" s="8">
        <f>(((3111+3111+3111+3111+3111+3111+3111+3111+3111+3111+3111+3111)/1.22)/1.02)</f>
        <v>30000</v>
      </c>
      <c r="E32" s="8">
        <f>SUM(C32:D32)</f>
        <v>30000</v>
      </c>
      <c r="F32" s="8"/>
      <c r="G32" s="8">
        <f>(((435.54+435.54+871.08+871.08+435.54+1306.62+871.08+871.08+871.08+1306.62+871.08)/1.22)/1.02)</f>
        <v>7349.9999999999991</v>
      </c>
      <c r="H32" s="8">
        <f>SUM(F32:G32)</f>
        <v>7349.9999999999991</v>
      </c>
      <c r="I32" s="8">
        <f t="shared" ref="I32:J47" si="1">C32+F32</f>
        <v>0</v>
      </c>
      <c r="J32" s="8">
        <f t="shared" si="1"/>
        <v>37350</v>
      </c>
      <c r="K32" s="8">
        <f>SUM(I32:J32)</f>
        <v>37350</v>
      </c>
      <c r="L32" s="8">
        <v>529.01800064288</v>
      </c>
      <c r="M32" s="8">
        <v>12453.535840565701</v>
      </c>
      <c r="N32" s="8">
        <f>SUM(L32:M32)</f>
        <v>12982.553841208581</v>
      </c>
      <c r="O32" s="8">
        <f>K32+N32</f>
        <v>50332.553841208581</v>
      </c>
    </row>
    <row r="33" spans="2:19" x14ac:dyDescent="0.25">
      <c r="B33" s="5" t="s">
        <v>57</v>
      </c>
      <c r="C33" s="8">
        <f>((2696.2/1.22)/1.02)</f>
        <v>2166.6666666666665</v>
      </c>
      <c r="D33" s="8">
        <f>((29658.2/1.22)/1.02)</f>
        <v>23833.333333333332</v>
      </c>
      <c r="E33" s="8">
        <f t="shared" ref="E33:E47" si="2">SUM(C33:D33)</f>
        <v>26000</v>
      </c>
      <c r="F33" s="8">
        <f>((871.08/1.22)/1.02)</f>
        <v>700</v>
      </c>
      <c r="G33" s="8">
        <f>((8275.26/1.22)/1.02)</f>
        <v>6650</v>
      </c>
      <c r="H33" s="8">
        <f t="shared" ref="H33:H47" si="3">SUM(F33:G33)</f>
        <v>7350</v>
      </c>
      <c r="I33" s="8">
        <f t="shared" si="1"/>
        <v>2866.6666666666665</v>
      </c>
      <c r="J33" s="8">
        <f t="shared" si="1"/>
        <v>30483.333333333332</v>
      </c>
      <c r="K33" s="8">
        <f>SUM(I33:J33)</f>
        <v>33350</v>
      </c>
      <c r="L33" s="8">
        <v>698.20797171327547</v>
      </c>
      <c r="M33" s="8">
        <v>7101.8322082931536</v>
      </c>
      <c r="N33" s="8">
        <f t="shared" ref="N33:N47" si="4">SUM(L33:M33)</f>
        <v>7800.0401800064292</v>
      </c>
      <c r="O33" s="8">
        <f t="shared" ref="O33:O47" si="5">K33+N33</f>
        <v>41150.040180006428</v>
      </c>
    </row>
    <row r="34" spans="2:19" x14ac:dyDescent="0.25">
      <c r="B34" s="5" t="s">
        <v>75</v>
      </c>
      <c r="C34" s="8"/>
      <c r="D34" s="8">
        <f>((27376.8/1.22)/1.02)</f>
        <v>22000</v>
      </c>
      <c r="E34" s="8">
        <f t="shared" si="2"/>
        <v>22000</v>
      </c>
      <c r="F34" s="8"/>
      <c r="G34" s="8">
        <f>((9146.34/1.22)/1.02)</f>
        <v>7350</v>
      </c>
      <c r="H34" s="8">
        <f t="shared" si="3"/>
        <v>7350</v>
      </c>
      <c r="I34" s="8">
        <f t="shared" si="1"/>
        <v>0</v>
      </c>
      <c r="J34" s="8">
        <f t="shared" si="1"/>
        <v>29350</v>
      </c>
      <c r="K34" s="8">
        <f t="shared" ref="K34:K47" si="6">SUM(I34:J34)</f>
        <v>29350</v>
      </c>
      <c r="L34" s="8">
        <f>345.057859209257-0.03</f>
        <v>345.02785920925703</v>
      </c>
      <c r="M34" s="8">
        <v>10402.900996464159</v>
      </c>
      <c r="N34" s="8">
        <f t="shared" si="4"/>
        <v>10747.928855673415</v>
      </c>
      <c r="O34" s="8">
        <f t="shared" si="5"/>
        <v>40097.928855673417</v>
      </c>
    </row>
    <row r="35" spans="2:19" x14ac:dyDescent="0.25">
      <c r="B35" s="5" t="s">
        <v>59</v>
      </c>
      <c r="C35" s="8"/>
      <c r="D35" s="8">
        <f>((27376.8/1.22)/1.02)</f>
        <v>22000</v>
      </c>
      <c r="E35" s="8">
        <f t="shared" si="2"/>
        <v>22000</v>
      </c>
      <c r="F35" s="8"/>
      <c r="G35" s="8">
        <v>7350</v>
      </c>
      <c r="H35" s="8">
        <f t="shared" si="3"/>
        <v>7350</v>
      </c>
      <c r="I35" s="8">
        <f t="shared" si="1"/>
        <v>0</v>
      </c>
      <c r="J35" s="8">
        <f t="shared" si="1"/>
        <v>29350</v>
      </c>
      <c r="K35" s="8">
        <f t="shared" si="6"/>
        <v>29350</v>
      </c>
      <c r="L35" s="8">
        <f>462.26293796207</f>
        <v>462.26293796207</v>
      </c>
      <c r="M35" s="8">
        <v>4418.3060109289618</v>
      </c>
      <c r="N35" s="8">
        <f t="shared" si="4"/>
        <v>4880.5689488910321</v>
      </c>
      <c r="O35" s="8">
        <f t="shared" si="5"/>
        <v>34230.568948891028</v>
      </c>
    </row>
    <row r="36" spans="2:19" x14ac:dyDescent="0.25">
      <c r="B36" s="5" t="s">
        <v>60</v>
      </c>
      <c r="C36" s="8">
        <f>(((380.24+2281.4+2281.4+2281.4+2281.4+2281.4+2281.4)/1.22)/1.02)</f>
        <v>11305.560912889747</v>
      </c>
      <c r="D36" s="8"/>
      <c r="E36" s="8">
        <f t="shared" si="2"/>
        <v>11305.560912889747</v>
      </c>
      <c r="F36" s="8">
        <f>(((435.54+435.54+435.54+435.54+435.54)/1.22)/1.02)</f>
        <v>1750.0000000000002</v>
      </c>
      <c r="G36" s="8"/>
      <c r="H36" s="8">
        <f t="shared" si="3"/>
        <v>1750.0000000000002</v>
      </c>
      <c r="I36" s="8">
        <f t="shared" si="1"/>
        <v>13055.560912889747</v>
      </c>
      <c r="J36" s="8">
        <f t="shared" si="1"/>
        <v>0</v>
      </c>
      <c r="K36" s="8">
        <f t="shared" si="6"/>
        <v>13055.560912889747</v>
      </c>
      <c r="L36" s="8">
        <f>1361.61202185792+0.01</f>
        <v>1361.6220218579199</v>
      </c>
      <c r="M36" s="8">
        <v>0</v>
      </c>
      <c r="N36" s="8">
        <f t="shared" si="4"/>
        <v>1361.6220218579199</v>
      </c>
      <c r="O36" s="8">
        <f t="shared" si="5"/>
        <v>14417.182934747667</v>
      </c>
    </row>
    <row r="37" spans="2:19" x14ac:dyDescent="0.25">
      <c r="B37" s="5" t="s">
        <v>61</v>
      </c>
      <c r="C37" s="8"/>
      <c r="D37" s="8">
        <f>((27376.8/1.22)/1.02)</f>
        <v>22000</v>
      </c>
      <c r="E37" s="8">
        <f t="shared" si="2"/>
        <v>22000</v>
      </c>
      <c r="F37" s="8"/>
      <c r="G37" s="8">
        <f>((8275.26/1.22)/1.02)</f>
        <v>6650</v>
      </c>
      <c r="H37" s="8">
        <f t="shared" si="3"/>
        <v>6650</v>
      </c>
      <c r="I37" s="8">
        <f t="shared" si="1"/>
        <v>0</v>
      </c>
      <c r="J37" s="8">
        <f t="shared" si="1"/>
        <v>28650</v>
      </c>
      <c r="K37" s="8">
        <f t="shared" si="6"/>
        <v>28650</v>
      </c>
      <c r="L37" s="8">
        <v>138.99871423979428</v>
      </c>
      <c r="M37" s="8">
        <v>6341.6023786563819</v>
      </c>
      <c r="N37" s="8">
        <f t="shared" si="4"/>
        <v>6480.6010928961759</v>
      </c>
      <c r="O37" s="8">
        <f t="shared" si="5"/>
        <v>35130.601092896177</v>
      </c>
    </row>
    <row r="38" spans="2:19" x14ac:dyDescent="0.25">
      <c r="B38" s="5" t="s">
        <v>62</v>
      </c>
      <c r="C38" s="8">
        <f>((14068.64/1.22)/1.02)</f>
        <v>11305.560912889747</v>
      </c>
      <c r="D38" s="8">
        <f>((27376.8/1.22)/1.02)</f>
        <v>22000</v>
      </c>
      <c r="E38" s="8">
        <f t="shared" si="2"/>
        <v>33305.560912889749</v>
      </c>
      <c r="F38" s="8">
        <f>((3919.86/1.22)/1.02)</f>
        <v>3150</v>
      </c>
      <c r="G38" s="8">
        <f>((8275.26/1.22)/1.02)</f>
        <v>6650</v>
      </c>
      <c r="H38" s="8">
        <f t="shared" si="3"/>
        <v>9800</v>
      </c>
      <c r="I38" s="8">
        <f t="shared" si="1"/>
        <v>14455.560912889747</v>
      </c>
      <c r="J38" s="8">
        <f t="shared" si="1"/>
        <v>28650</v>
      </c>
      <c r="K38" s="8">
        <f t="shared" si="6"/>
        <v>43105.560912889749</v>
      </c>
      <c r="L38" s="8">
        <f>2388.08261009322+0.01</f>
        <v>2388.0926100932202</v>
      </c>
      <c r="M38" s="8">
        <v>2027.4590163934427</v>
      </c>
      <c r="N38" s="8">
        <f t="shared" si="4"/>
        <v>4415.5516264866628</v>
      </c>
      <c r="O38" s="8">
        <f t="shared" si="5"/>
        <v>47521.112539376409</v>
      </c>
    </row>
    <row r="39" spans="2:19" x14ac:dyDescent="0.25">
      <c r="B39" s="5" t="s">
        <v>63</v>
      </c>
      <c r="C39" s="8"/>
      <c r="D39" s="8">
        <f>((27376.8/1.22)/1.02)</f>
        <v>22000</v>
      </c>
      <c r="E39" s="8">
        <f t="shared" si="2"/>
        <v>22000</v>
      </c>
      <c r="F39" s="8"/>
      <c r="G39" s="8">
        <f>((8275.26/1.22)/1.02)</f>
        <v>6650</v>
      </c>
      <c r="H39" s="8">
        <f t="shared" si="3"/>
        <v>6650</v>
      </c>
      <c r="I39" s="8">
        <f t="shared" si="1"/>
        <v>0</v>
      </c>
      <c r="J39" s="8">
        <f t="shared" si="1"/>
        <v>28650</v>
      </c>
      <c r="K39" s="8">
        <f t="shared" si="6"/>
        <v>28650</v>
      </c>
      <c r="L39" s="8">
        <f>1114.26390228222-0.01</f>
        <v>1114.25390228222</v>
      </c>
      <c r="M39" s="8">
        <v>3274.5178399228544</v>
      </c>
      <c r="N39" s="8">
        <f t="shared" si="4"/>
        <v>4388.7717422050746</v>
      </c>
      <c r="O39" s="8">
        <f t="shared" si="5"/>
        <v>33038.771742205077</v>
      </c>
    </row>
    <row r="40" spans="2:19" x14ac:dyDescent="0.25">
      <c r="B40" s="5" t="s">
        <v>64</v>
      </c>
      <c r="C40" s="8">
        <f>((14068.64/1.22)/1.02)</f>
        <v>11305.560912889747</v>
      </c>
      <c r="D40" s="8">
        <f>((27376.8/1.22)/1.02)</f>
        <v>22000</v>
      </c>
      <c r="E40" s="8">
        <f t="shared" si="2"/>
        <v>33305.560912889749</v>
      </c>
      <c r="F40" s="8">
        <f>((4355.4/1.22)/1.02)</f>
        <v>3500</v>
      </c>
      <c r="G40" s="8">
        <f>((7839.72/1.22)/1.02)</f>
        <v>6300</v>
      </c>
      <c r="H40" s="8">
        <f t="shared" si="3"/>
        <v>9800</v>
      </c>
      <c r="I40" s="8">
        <f t="shared" si="1"/>
        <v>14805.560912889747</v>
      </c>
      <c r="J40" s="8">
        <f t="shared" si="1"/>
        <v>28300</v>
      </c>
      <c r="K40" s="8">
        <f t="shared" si="6"/>
        <v>43105.560912889749</v>
      </c>
      <c r="L40" s="8">
        <f>3849.51+0.01</f>
        <v>3849.5200000000004</v>
      </c>
      <c r="M40" s="8">
        <v>3964.5371263259403</v>
      </c>
      <c r="N40" s="8">
        <f>SUM(L40:M40)</f>
        <v>7814.0571263259408</v>
      </c>
      <c r="O40" s="8">
        <f t="shared" si="5"/>
        <v>50919.618039215689</v>
      </c>
    </row>
    <row r="41" spans="2:19" x14ac:dyDescent="0.25">
      <c r="B41" s="5" t="s">
        <v>65</v>
      </c>
      <c r="C41" s="8">
        <f>((15969.8/1.22)/1.02)</f>
        <v>12833.333333333334</v>
      </c>
      <c r="D41" s="8">
        <f>((22814/1.22)/1.02)</f>
        <v>18333.333333333332</v>
      </c>
      <c r="E41" s="8">
        <f t="shared" si="2"/>
        <v>31166.666666666664</v>
      </c>
      <c r="F41" s="8">
        <f>((3048.78/1.22)/1.02)</f>
        <v>2450</v>
      </c>
      <c r="G41" s="8">
        <f>((6533.1/1.22)/1.02)</f>
        <v>5250</v>
      </c>
      <c r="H41" s="8">
        <f t="shared" si="3"/>
        <v>7700</v>
      </c>
      <c r="I41" s="8">
        <f t="shared" si="1"/>
        <v>15283.333333333334</v>
      </c>
      <c r="J41" s="8">
        <f t="shared" si="1"/>
        <v>23583.333333333332</v>
      </c>
      <c r="K41" s="8">
        <f t="shared" si="6"/>
        <v>38866.666666666664</v>
      </c>
      <c r="L41" s="8">
        <f>5056.58148505304+0.02</f>
        <v>5056.6014850530401</v>
      </c>
      <c r="M41" s="8">
        <v>5353.0456444873034</v>
      </c>
      <c r="N41" s="8">
        <f t="shared" si="4"/>
        <v>10409.647129540343</v>
      </c>
      <c r="O41" s="8">
        <f t="shared" si="5"/>
        <v>49276.313796207003</v>
      </c>
    </row>
    <row r="42" spans="2:19" x14ac:dyDescent="0.25">
      <c r="B42" s="5" t="s">
        <v>66</v>
      </c>
      <c r="C42" s="8">
        <f>((2281.4/1.22)/1.02)</f>
        <v>1833.3333333333335</v>
      </c>
      <c r="D42" s="8">
        <f>((27376.8/1.22)/1.02)</f>
        <v>22000</v>
      </c>
      <c r="E42" s="8">
        <f t="shared" si="2"/>
        <v>23833.333333333332</v>
      </c>
      <c r="F42" s="8">
        <f>((871.08/1.22)/1.02)</f>
        <v>700</v>
      </c>
      <c r="G42" s="8">
        <v>7350</v>
      </c>
      <c r="H42" s="8">
        <f t="shared" si="3"/>
        <v>8050</v>
      </c>
      <c r="I42" s="8">
        <f t="shared" si="1"/>
        <v>2533.3333333333335</v>
      </c>
      <c r="J42" s="8">
        <f t="shared" si="1"/>
        <v>29350</v>
      </c>
      <c r="K42" s="8">
        <f t="shared" si="6"/>
        <v>31883.333333333332</v>
      </c>
      <c r="L42" s="8">
        <f>494.856959177113+0.01</f>
        <v>494.86695917711302</v>
      </c>
      <c r="M42" s="8">
        <v>5270.7810993249759</v>
      </c>
      <c r="N42" s="8">
        <f t="shared" si="4"/>
        <v>5765.648058502089</v>
      </c>
      <c r="O42" s="8">
        <f t="shared" si="5"/>
        <v>37648.981391835419</v>
      </c>
    </row>
    <row r="43" spans="2:19" x14ac:dyDescent="0.25">
      <c r="B43" s="5" t="s">
        <v>67</v>
      </c>
      <c r="C43" s="8">
        <f>((2281.4/1.22)/1.02)</f>
        <v>1833.3333333333335</v>
      </c>
      <c r="D43" s="8">
        <f>((27376.8/1.22)/1.02)</f>
        <v>22000</v>
      </c>
      <c r="E43" s="8">
        <f t="shared" si="2"/>
        <v>23833.333333333332</v>
      </c>
      <c r="F43" s="8">
        <f>((435.54/1.22)/1.02)</f>
        <v>350</v>
      </c>
      <c r="G43" s="8">
        <f>((7404.18/1.22)/1.02)</f>
        <v>5950</v>
      </c>
      <c r="H43" s="8">
        <f t="shared" si="3"/>
        <v>6300</v>
      </c>
      <c r="I43" s="8">
        <f t="shared" si="1"/>
        <v>2183.3333333333335</v>
      </c>
      <c r="J43" s="8">
        <f t="shared" si="1"/>
        <v>27950</v>
      </c>
      <c r="K43" s="8">
        <f t="shared" si="6"/>
        <v>30133.333333333332</v>
      </c>
      <c r="L43" s="8">
        <v>263.11475409836066</v>
      </c>
      <c r="M43" s="8">
        <v>3933.2610093217613</v>
      </c>
      <c r="N43" s="8">
        <f>SUM(L43:M43)</f>
        <v>4196.375763420122</v>
      </c>
      <c r="O43" s="8">
        <f>K43+N43</f>
        <v>34329.709096753453</v>
      </c>
    </row>
    <row r="44" spans="2:19" x14ac:dyDescent="0.25">
      <c r="B44" s="5" t="s">
        <v>68</v>
      </c>
      <c r="C44" s="8"/>
      <c r="D44" s="8">
        <f>((27376.8/1.22)/1.02)</f>
        <v>22000</v>
      </c>
      <c r="E44" s="8">
        <f t="shared" si="2"/>
        <v>22000</v>
      </c>
      <c r="F44" s="8">
        <f>((1306.62/1.22)/1.02)</f>
        <v>1050</v>
      </c>
      <c r="G44" s="8">
        <f>((8710.8/1.22)/1.02)</f>
        <v>7000</v>
      </c>
      <c r="H44" s="8">
        <f t="shared" si="3"/>
        <v>8050</v>
      </c>
      <c r="I44" s="8">
        <f t="shared" si="1"/>
        <v>1050</v>
      </c>
      <c r="J44" s="8">
        <f t="shared" si="1"/>
        <v>29000</v>
      </c>
      <c r="K44" s="8">
        <f t="shared" si="6"/>
        <v>30050</v>
      </c>
      <c r="L44" s="8">
        <v>2489.1835422693671</v>
      </c>
      <c r="M44" s="8">
        <v>5892.1648987463841</v>
      </c>
      <c r="N44" s="8">
        <f t="shared" si="4"/>
        <v>8381.3484410157507</v>
      </c>
      <c r="O44" s="8">
        <f t="shared" si="5"/>
        <v>38431.348441015754</v>
      </c>
    </row>
    <row r="45" spans="2:19" x14ac:dyDescent="0.25">
      <c r="B45" s="5" t="s">
        <v>69</v>
      </c>
      <c r="C45" s="8"/>
      <c r="D45" s="8">
        <f>((27376.8/1.22)/1.02)</f>
        <v>22000</v>
      </c>
      <c r="E45" s="8">
        <f t="shared" si="2"/>
        <v>22000</v>
      </c>
      <c r="F45" s="8"/>
      <c r="G45" s="8">
        <f>((8710.8/1.22)/1.02)</f>
        <v>7000</v>
      </c>
      <c r="H45" s="8">
        <f t="shared" si="3"/>
        <v>7000</v>
      </c>
      <c r="I45" s="8">
        <f t="shared" si="1"/>
        <v>0</v>
      </c>
      <c r="J45" s="8">
        <f t="shared" si="1"/>
        <v>29000</v>
      </c>
      <c r="K45" s="8">
        <f t="shared" si="6"/>
        <v>29000</v>
      </c>
      <c r="L45" s="8">
        <v>440.75859852137575</v>
      </c>
      <c r="M45" s="8">
        <v>12429.435872709739</v>
      </c>
      <c r="N45" s="8">
        <v>12870.2</v>
      </c>
      <c r="O45" s="8">
        <f t="shared" si="5"/>
        <v>41870.199999999997</v>
      </c>
    </row>
    <row r="46" spans="2:19" x14ac:dyDescent="0.25">
      <c r="B46" s="5" t="s">
        <v>70</v>
      </c>
      <c r="C46" s="8">
        <f>((2281.4/1.22)/1.02)</f>
        <v>1833.3333333333335</v>
      </c>
      <c r="D46" s="8">
        <v>22000</v>
      </c>
      <c r="E46" s="8">
        <f t="shared" si="2"/>
        <v>23833.333333333332</v>
      </c>
      <c r="F46" s="8">
        <f>((435.54/1.22)/1.02)</f>
        <v>350</v>
      </c>
      <c r="G46" s="8">
        <f>((8275.26/1.22)/1.02)</f>
        <v>6650</v>
      </c>
      <c r="H46" s="8">
        <f t="shared" si="3"/>
        <v>7000</v>
      </c>
      <c r="I46" s="8">
        <f t="shared" si="1"/>
        <v>2183.3333333333335</v>
      </c>
      <c r="J46" s="8">
        <f t="shared" si="1"/>
        <v>28650</v>
      </c>
      <c r="K46" s="8">
        <f t="shared" si="6"/>
        <v>30833.333333333332</v>
      </c>
      <c r="L46" s="8">
        <f>219.664095146255-0.01</f>
        <v>219.654095146255</v>
      </c>
      <c r="M46" s="8">
        <v>4875.3857280617167</v>
      </c>
      <c r="N46" s="8">
        <f t="shared" si="4"/>
        <v>5095.0398232079715</v>
      </c>
      <c r="O46" s="8">
        <f t="shared" si="5"/>
        <v>35928.373156541304</v>
      </c>
    </row>
    <row r="47" spans="2:19" x14ac:dyDescent="0.25">
      <c r="B47" s="5" t="s">
        <v>71</v>
      </c>
      <c r="C47" s="8"/>
      <c r="D47" s="8">
        <f>((25095.4/1.22)/1.02)</f>
        <v>20166.666666666668</v>
      </c>
      <c r="E47" s="8">
        <f t="shared" si="2"/>
        <v>20166.666666666668</v>
      </c>
      <c r="F47" s="8"/>
      <c r="G47" s="8">
        <v>6650</v>
      </c>
      <c r="H47" s="8">
        <f t="shared" si="3"/>
        <v>6650</v>
      </c>
      <c r="I47" s="8">
        <f t="shared" si="1"/>
        <v>0</v>
      </c>
      <c r="J47" s="8">
        <f t="shared" si="1"/>
        <v>26816.666666666668</v>
      </c>
      <c r="K47" s="8">
        <f t="shared" si="6"/>
        <v>26816.666666666668</v>
      </c>
      <c r="L47" s="8">
        <v>319.39999999999998</v>
      </c>
      <c r="M47" s="8">
        <v>5641.98</v>
      </c>
      <c r="N47" s="8">
        <f t="shared" si="4"/>
        <v>5961.3799999999992</v>
      </c>
      <c r="O47" s="8">
        <f t="shared" si="5"/>
        <v>32778.046666666669</v>
      </c>
    </row>
    <row r="48" spans="2:19" x14ac:dyDescent="0.25">
      <c r="B48" s="9" t="s">
        <v>13</v>
      </c>
      <c r="C48" s="10">
        <f>SUM(C32:C47)</f>
        <v>54416.682738669253</v>
      </c>
      <c r="D48" s="10">
        <f t="shared" ref="D48:N48" si="7">SUM(D32:D47)</f>
        <v>334333.33333333331</v>
      </c>
      <c r="E48" s="10">
        <f>SUM(E32:E47)</f>
        <v>388750.01607200253</v>
      </c>
      <c r="F48" s="10">
        <f t="shared" si="7"/>
        <v>14000</v>
      </c>
      <c r="G48" s="10">
        <f>SUM(G32:G47)</f>
        <v>100800</v>
      </c>
      <c r="H48" s="10">
        <f t="shared" si="7"/>
        <v>114800</v>
      </c>
      <c r="I48" s="10">
        <f t="shared" si="7"/>
        <v>68416.682738669246</v>
      </c>
      <c r="J48" s="10">
        <f t="shared" si="7"/>
        <v>435133.33333333331</v>
      </c>
      <c r="K48" s="10">
        <f t="shared" si="7"/>
        <v>503550.01607200253</v>
      </c>
      <c r="L48" s="10">
        <f t="shared" si="7"/>
        <v>20170.583452266153</v>
      </c>
      <c r="M48" s="10">
        <f t="shared" si="7"/>
        <v>93380.745670202479</v>
      </c>
      <c r="N48" s="10">
        <f t="shared" si="7"/>
        <v>113551.33465123751</v>
      </c>
      <c r="O48" s="10">
        <f>SUM(O32:O47)</f>
        <v>617101.35072324006</v>
      </c>
    </row>
    <row r="51" spans="2:10" ht="35.25" customHeight="1" x14ac:dyDescent="0.25">
      <c r="B51" s="23" t="s">
        <v>55</v>
      </c>
      <c r="C51" s="23"/>
      <c r="D51" s="23"/>
      <c r="E51" s="23"/>
      <c r="F51" s="23"/>
      <c r="G51" s="23"/>
      <c r="H51" s="23"/>
      <c r="I51" s="23"/>
      <c r="J51" s="23"/>
    </row>
  </sheetData>
  <mergeCells count="61"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L30:N30"/>
    <mergeCell ref="O30:O31"/>
    <mergeCell ref="C20:D20"/>
    <mergeCell ref="E20:F20"/>
    <mergeCell ref="G20:H20"/>
    <mergeCell ref="C21:D21"/>
    <mergeCell ref="E21:F21"/>
    <mergeCell ref="G21:H21"/>
    <mergeCell ref="B51:J51"/>
    <mergeCell ref="B30:B31"/>
    <mergeCell ref="C30:E30"/>
    <mergeCell ref="F30:H30"/>
    <mergeCell ref="I30:K30"/>
  </mergeCells>
  <pageMargins left="0.7" right="0.7" top="0.75" bottom="0.75" header="0.3" footer="0.3"/>
  <pageSetup paperSize="9" scale="55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showGridLines="0" workbookViewId="0">
      <selection activeCell="J9" sqref="J9"/>
    </sheetView>
  </sheetViews>
  <sheetFormatPr defaultRowHeight="15" x14ac:dyDescent="0.25"/>
  <cols>
    <col min="2" max="2" width="36.28515625" bestFit="1" customWidth="1"/>
    <col min="3" max="4" width="11.5703125" bestFit="1" customWidth="1"/>
    <col min="5" max="5" width="11.5703125" customWidth="1"/>
    <col min="6" max="6" width="10.42578125" bestFit="1" customWidth="1"/>
    <col min="7" max="7" width="12.28515625" customWidth="1"/>
    <col min="8" max="9" width="11.5703125" bestFit="1" customWidth="1"/>
    <col min="10" max="10" width="14.7109375" customWidth="1"/>
    <col min="11" max="11" width="14.42578125" customWidth="1"/>
    <col min="12" max="13" width="11.5703125" bestFit="1" customWidth="1"/>
    <col min="14" max="14" width="11.5703125" customWidth="1"/>
    <col min="15" max="15" width="19.85546875" customWidth="1"/>
  </cols>
  <sheetData>
    <row r="2" spans="2:8" x14ac:dyDescent="0.25">
      <c r="B2" s="1" t="s">
        <v>0</v>
      </c>
      <c r="C2" s="2"/>
      <c r="D2" s="3"/>
    </row>
    <row r="3" spans="2:8" x14ac:dyDescent="0.25">
      <c r="B3" s="3"/>
      <c r="C3" s="2"/>
      <c r="D3" s="3"/>
    </row>
    <row r="4" spans="2:8" ht="86.25" customHeight="1" x14ac:dyDescent="0.25">
      <c r="B4" s="4" t="s">
        <v>81</v>
      </c>
      <c r="C4" s="21" t="s">
        <v>2</v>
      </c>
      <c r="D4" s="22"/>
      <c r="E4" s="21" t="s">
        <v>3</v>
      </c>
      <c r="F4" s="22"/>
      <c r="G4" s="21" t="s">
        <v>4</v>
      </c>
      <c r="H4" s="22"/>
    </row>
    <row r="5" spans="2:8" x14ac:dyDescent="0.25">
      <c r="B5" s="5" t="s">
        <v>76</v>
      </c>
      <c r="C5" s="19">
        <v>25</v>
      </c>
      <c r="D5" s="19"/>
      <c r="E5" s="19">
        <v>1</v>
      </c>
      <c r="F5" s="19"/>
      <c r="G5" s="19">
        <f>SUM(C5:E5)</f>
        <v>26</v>
      </c>
      <c r="H5" s="19"/>
    </row>
    <row r="6" spans="2:8" x14ac:dyDescent="0.25">
      <c r="B6" s="5" t="s">
        <v>77</v>
      </c>
      <c r="C6" s="19">
        <v>28</v>
      </c>
      <c r="D6" s="19"/>
      <c r="E6" s="19">
        <v>2</v>
      </c>
      <c r="F6" s="19"/>
      <c r="G6" s="19">
        <f>SUM(C6:E6)</f>
        <v>30</v>
      </c>
      <c r="H6" s="19"/>
    </row>
    <row r="7" spans="2:8" x14ac:dyDescent="0.25">
      <c r="B7" s="5" t="s">
        <v>78</v>
      </c>
      <c r="C7" s="19">
        <v>23</v>
      </c>
      <c r="D7" s="19"/>
      <c r="E7" s="19">
        <v>0</v>
      </c>
      <c r="F7" s="19"/>
      <c r="G7" s="19">
        <f>SUM(C7:E7)</f>
        <v>23</v>
      </c>
      <c r="H7" s="19"/>
    </row>
    <row r="8" spans="2:8" x14ac:dyDescent="0.25">
      <c r="B8" s="5" t="s">
        <v>79</v>
      </c>
      <c r="C8" s="19">
        <v>24</v>
      </c>
      <c r="D8" s="19"/>
      <c r="E8" s="19">
        <v>1</v>
      </c>
      <c r="F8" s="19"/>
      <c r="G8" s="19">
        <f>SUM(C8:E8)</f>
        <v>25</v>
      </c>
      <c r="H8" s="19"/>
    </row>
    <row r="9" spans="2:8" x14ac:dyDescent="0.25">
      <c r="B9" s="5" t="s">
        <v>80</v>
      </c>
      <c r="C9" s="19">
        <v>28</v>
      </c>
      <c r="D9" s="19"/>
      <c r="E9" s="19">
        <v>1</v>
      </c>
      <c r="F9" s="19"/>
      <c r="G9" s="19">
        <f>SUM(C9:E9)</f>
        <v>29</v>
      </c>
      <c r="H9" s="19"/>
    </row>
    <row r="10" spans="2:8" x14ac:dyDescent="0.25">
      <c r="B10" s="6" t="s">
        <v>10</v>
      </c>
      <c r="C10" s="20">
        <f>SUM(C5:C9)</f>
        <v>128</v>
      </c>
      <c r="D10" s="20"/>
      <c r="E10" s="20">
        <f>SUM(E5:E9)</f>
        <v>5</v>
      </c>
      <c r="F10" s="20"/>
      <c r="G10" s="20">
        <f>SUM(G5:G9)</f>
        <v>133</v>
      </c>
      <c r="H10" s="20"/>
    </row>
    <row r="16" spans="2:8" x14ac:dyDescent="0.25">
      <c r="B16" s="7" t="s">
        <v>36</v>
      </c>
    </row>
    <row r="19" spans="2:15" ht="45" customHeight="1" thickBot="1" x14ac:dyDescent="0.3">
      <c r="B19" s="26" t="s">
        <v>81</v>
      </c>
      <c r="C19" s="28" t="s">
        <v>50</v>
      </c>
      <c r="D19" s="29"/>
      <c r="E19" s="30"/>
      <c r="F19" s="28" t="s">
        <v>51</v>
      </c>
      <c r="G19" s="29"/>
      <c r="H19" s="30"/>
      <c r="I19" s="28" t="s">
        <v>52</v>
      </c>
      <c r="J19" s="29"/>
      <c r="K19" s="30"/>
      <c r="L19" s="28" t="s">
        <v>53</v>
      </c>
      <c r="M19" s="29"/>
      <c r="N19" s="29"/>
      <c r="O19" s="38" t="s">
        <v>72</v>
      </c>
    </row>
    <row r="20" spans="2:15" ht="15.75" thickBot="1" x14ac:dyDescent="0.3">
      <c r="B20" s="35"/>
      <c r="C20" s="17" t="s">
        <v>73</v>
      </c>
      <c r="D20" s="17" t="s">
        <v>74</v>
      </c>
      <c r="E20" s="17" t="s">
        <v>10</v>
      </c>
      <c r="F20" s="17" t="s">
        <v>73</v>
      </c>
      <c r="G20" s="17" t="s">
        <v>74</v>
      </c>
      <c r="H20" s="17" t="s">
        <v>10</v>
      </c>
      <c r="I20" s="17" t="s">
        <v>73</v>
      </c>
      <c r="J20" s="17" t="s">
        <v>74</v>
      </c>
      <c r="K20" s="17" t="s">
        <v>10</v>
      </c>
      <c r="L20" s="17" t="s">
        <v>73</v>
      </c>
      <c r="M20" s="17" t="s">
        <v>74</v>
      </c>
      <c r="N20" s="18" t="s">
        <v>10</v>
      </c>
      <c r="O20" s="39"/>
    </row>
    <row r="21" spans="2:15" x14ac:dyDescent="0.25">
      <c r="B21" s="5" t="s">
        <v>76</v>
      </c>
      <c r="C21" s="8">
        <f>((1903.2/1.22)/1.04)</f>
        <v>1500</v>
      </c>
      <c r="D21" s="8">
        <f>((22838.4/1.22)/1.04)</f>
        <v>18000</v>
      </c>
      <c r="E21" s="8">
        <f>SUM(C21:D21)</f>
        <v>19500</v>
      </c>
      <c r="F21" s="8">
        <f>((888.16/1.22)/1.04)</f>
        <v>700</v>
      </c>
      <c r="G21" s="8">
        <f>((10213.84/1.22)/1.04)</f>
        <v>8050</v>
      </c>
      <c r="H21" s="8">
        <f>SUM(F21:G21)</f>
        <v>8750</v>
      </c>
      <c r="I21" s="8">
        <f t="shared" ref="I21:J25" si="0">C21+F21</f>
        <v>2200</v>
      </c>
      <c r="J21" s="8">
        <f t="shared" si="0"/>
        <v>26050</v>
      </c>
      <c r="K21" s="8">
        <f>SUM(I21:J21)</f>
        <v>28250</v>
      </c>
      <c r="L21" s="8">
        <f>1213.83984867591-0.02</f>
        <v>1213.81984867591</v>
      </c>
      <c r="M21" s="8">
        <v>7732.9996847414877</v>
      </c>
      <c r="N21" s="8">
        <f>SUM(L21:M21)</f>
        <v>8946.8195334173979</v>
      </c>
      <c r="O21" s="8">
        <f>J21+I21+M21+L21</f>
        <v>37196.819533417394</v>
      </c>
    </row>
    <row r="22" spans="2:15" x14ac:dyDescent="0.25">
      <c r="B22" s="5" t="s">
        <v>77</v>
      </c>
      <c r="C22" s="8"/>
      <c r="D22" s="8">
        <v>15000</v>
      </c>
      <c r="E22" s="8">
        <f t="shared" ref="E22:E25" si="1">SUM(C22:D22)</f>
        <v>15000</v>
      </c>
      <c r="F22" s="8"/>
      <c r="G22" s="8">
        <v>9800</v>
      </c>
      <c r="H22" s="8">
        <f t="shared" ref="H22:H25" si="2">SUM(F22:G22)</f>
        <v>9800</v>
      </c>
      <c r="I22" s="8">
        <f t="shared" si="0"/>
        <v>0</v>
      </c>
      <c r="J22" s="8">
        <f t="shared" si="0"/>
        <v>24800</v>
      </c>
      <c r="K22" s="8">
        <f t="shared" ref="K22:K25" si="3">SUM(I22:J22)</f>
        <v>24800</v>
      </c>
      <c r="L22" s="8">
        <v>0</v>
      </c>
      <c r="M22" s="8">
        <v>0</v>
      </c>
      <c r="N22" s="8">
        <f t="shared" ref="N22:N25" si="4">SUM(L22:M22)</f>
        <v>0</v>
      </c>
      <c r="O22" s="8">
        <f>J22+I22+M22+L22</f>
        <v>24800</v>
      </c>
    </row>
    <row r="23" spans="2:15" x14ac:dyDescent="0.25">
      <c r="B23" s="5" t="s">
        <v>78</v>
      </c>
      <c r="C23" s="8"/>
      <c r="D23" s="8">
        <f>((18666/1.22)/1.02)</f>
        <v>15000</v>
      </c>
      <c r="E23" s="8">
        <f t="shared" si="1"/>
        <v>15000</v>
      </c>
      <c r="F23" s="8"/>
      <c r="G23" s="8">
        <f>((10017.42/1.22)/1.02)</f>
        <v>8050</v>
      </c>
      <c r="H23" s="8">
        <f t="shared" si="2"/>
        <v>8050</v>
      </c>
      <c r="I23" s="8">
        <f t="shared" si="0"/>
        <v>0</v>
      </c>
      <c r="J23" s="8">
        <f t="shared" si="0"/>
        <v>23050</v>
      </c>
      <c r="K23" s="8">
        <f t="shared" si="3"/>
        <v>23050</v>
      </c>
      <c r="L23" s="8">
        <v>0</v>
      </c>
      <c r="M23" s="8">
        <f>2196.80970748955-0.02</f>
        <v>2196.78970748955</v>
      </c>
      <c r="N23" s="8">
        <f t="shared" si="4"/>
        <v>2196.78970748955</v>
      </c>
      <c r="O23" s="8">
        <f>J23+I23+M23+L23</f>
        <v>25246.789707489552</v>
      </c>
    </row>
    <row r="24" spans="2:15" x14ac:dyDescent="0.25">
      <c r="B24" s="5" t="s">
        <v>79</v>
      </c>
      <c r="C24" s="8">
        <f>((9516/1.22)/1.04)</f>
        <v>7500</v>
      </c>
      <c r="D24" s="8">
        <f>((9516/1.22)/1.04)</f>
        <v>7500</v>
      </c>
      <c r="E24" s="8">
        <f t="shared" si="1"/>
        <v>15000</v>
      </c>
      <c r="F24" s="8">
        <f>((4440.8/1.22)/1.04)</f>
        <v>3500.0000000000005</v>
      </c>
      <c r="G24" s="8">
        <f>((5773.04/1.22)/1.04)</f>
        <v>4550</v>
      </c>
      <c r="H24" s="8">
        <f t="shared" si="2"/>
        <v>8050</v>
      </c>
      <c r="I24" s="8">
        <f t="shared" si="0"/>
        <v>11000</v>
      </c>
      <c r="J24" s="8">
        <f t="shared" si="0"/>
        <v>12050</v>
      </c>
      <c r="K24" s="8">
        <f t="shared" si="3"/>
        <v>23050</v>
      </c>
      <c r="L24" s="8">
        <v>2997.0444514501896</v>
      </c>
      <c r="M24" s="8">
        <v>2874.9054224464062</v>
      </c>
      <c r="N24" s="8">
        <f t="shared" si="4"/>
        <v>5871.9498738965958</v>
      </c>
      <c r="O24" s="8">
        <f>J24+I24+M24+L24</f>
        <v>28921.949873896596</v>
      </c>
    </row>
    <row r="25" spans="2:15" x14ac:dyDescent="0.25">
      <c r="B25" s="5" t="s">
        <v>80</v>
      </c>
      <c r="C25" s="8">
        <f>((9333/1.22)/1.02)</f>
        <v>7500</v>
      </c>
      <c r="D25" s="8">
        <f>((18666/1.22)/1.02)</f>
        <v>15000</v>
      </c>
      <c r="E25" s="8">
        <f t="shared" si="1"/>
        <v>22500</v>
      </c>
      <c r="F25" s="8">
        <f>((4790.94/1.22)/1.02)</f>
        <v>3849.9999999999995</v>
      </c>
      <c r="G25" s="8">
        <f>((12195.12/1.22)/1.02)</f>
        <v>9800</v>
      </c>
      <c r="H25" s="8">
        <f t="shared" si="2"/>
        <v>13650</v>
      </c>
      <c r="I25" s="8">
        <f t="shared" si="0"/>
        <v>11350</v>
      </c>
      <c r="J25" s="8">
        <f t="shared" si="0"/>
        <v>24800</v>
      </c>
      <c r="K25" s="8">
        <f t="shared" si="3"/>
        <v>36150</v>
      </c>
      <c r="L25" s="8">
        <f>7437.68884603022+0.01</f>
        <v>7437.69884603022</v>
      </c>
      <c r="M25" s="8">
        <v>11572.492767598842</v>
      </c>
      <c r="N25" s="8">
        <f t="shared" si="4"/>
        <v>19010.19161362906</v>
      </c>
      <c r="O25" s="8">
        <f>J25+I25+M25+L25</f>
        <v>55160.191613629067</v>
      </c>
    </row>
    <row r="26" spans="2:15" x14ac:dyDescent="0.25">
      <c r="B26" s="9" t="s">
        <v>13</v>
      </c>
      <c r="C26" s="10">
        <f>SUM(C21:C25)</f>
        <v>16500</v>
      </c>
      <c r="D26" s="10">
        <f>SUM(D21:D25)</f>
        <v>70500</v>
      </c>
      <c r="E26" s="10">
        <f>SUM(E21:E25)</f>
        <v>87000</v>
      </c>
      <c r="F26" s="10">
        <f>SUM(F21:F25)</f>
        <v>8050</v>
      </c>
      <c r="G26" s="10">
        <f t="shared" ref="G26:O26" si="5">SUM(G21:G25)</f>
        <v>40250</v>
      </c>
      <c r="H26" s="10">
        <f t="shared" si="5"/>
        <v>48300</v>
      </c>
      <c r="I26" s="10">
        <f t="shared" si="5"/>
        <v>24550</v>
      </c>
      <c r="J26" s="10">
        <f t="shared" si="5"/>
        <v>110750</v>
      </c>
      <c r="K26" s="10">
        <f t="shared" si="5"/>
        <v>135300</v>
      </c>
      <c r="L26" s="10">
        <f t="shared" si="5"/>
        <v>11648.563146156321</v>
      </c>
      <c r="M26" s="10">
        <f t="shared" si="5"/>
        <v>24377.187582276289</v>
      </c>
      <c r="N26" s="10">
        <f t="shared" si="5"/>
        <v>36025.750728432606</v>
      </c>
      <c r="O26" s="10">
        <f t="shared" si="5"/>
        <v>171325.75072843261</v>
      </c>
    </row>
    <row r="29" spans="2:15" ht="29.25" customHeight="1" x14ac:dyDescent="0.25">
      <c r="B29" s="23" t="s">
        <v>55</v>
      </c>
      <c r="C29" s="23"/>
      <c r="D29" s="23"/>
      <c r="E29" s="23"/>
      <c r="F29" s="23"/>
      <c r="G29" s="23"/>
      <c r="H29" s="23"/>
      <c r="I29" s="23"/>
      <c r="J29" s="23"/>
    </row>
  </sheetData>
  <mergeCells count="28"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I19:K19"/>
    <mergeCell ref="L19:N19"/>
    <mergeCell ref="O19:O20"/>
    <mergeCell ref="B29:J29"/>
    <mergeCell ref="C10:D10"/>
    <mergeCell ref="E10:F10"/>
    <mergeCell ref="G10:H10"/>
    <mergeCell ref="B19:B20"/>
    <mergeCell ref="C19:E19"/>
    <mergeCell ref="F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CDA-COMPENSI EPPI</vt:lpstr>
      <vt:lpstr>CDA-COMPENSI ESTERNI</vt:lpstr>
      <vt:lpstr>CIG-COMPENSI EPPI</vt:lpstr>
      <vt:lpstr>CS-COMPENSI EPPI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Gozzi</dc:creator>
  <cp:lastModifiedBy>Fulvio D'Alessio</cp:lastModifiedBy>
  <cp:lastPrinted>2016-07-29T08:11:00Z</cp:lastPrinted>
  <dcterms:created xsi:type="dcterms:W3CDTF">2016-04-06T14:21:48Z</dcterms:created>
  <dcterms:modified xsi:type="dcterms:W3CDTF">2017-05-23T13:00:19Z</dcterms:modified>
</cp:coreProperties>
</file>